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visvaris.zzdats.lv/WebDav/wordstorage/"/>
    </mc:Choice>
  </mc:AlternateContent>
  <bookViews>
    <workbookView xWindow="-120" yWindow="-120" windowWidth="29040" windowHeight="15840" firstSheet="3" activeTab="3"/>
  </bookViews>
  <sheets>
    <sheet name="kopējais" sheetId="1" state="hidden" r:id="rId3"/>
    <sheet name="pa amatiem" sheetId="2" state="hidden" r:id="rId4"/>
    <sheet name="Sheet1" sheetId="5" state="hidden" r:id="rId5"/>
    <sheet name="Kritēriju vērtējums" sheetId="14" r:id="rId6"/>
    <sheet name="Pakāpju aprēķini" sheetId="15" state="hidden" r:id="rId7"/>
    <sheet name="9 pakāpes, 10 % solis" sheetId="12" state="hidden" r:id="rId8"/>
    <sheet name="MAG skala no 01.07.2022." sheetId="9" state="hidden" r:id="rId9"/>
    <sheet name="Sheet2" sheetId="8" state="hidden" r:id="rId10"/>
  </sheets>
  <definedNames>
    <definedName name="_xlnm._FilterDatabase" localSheetId="4" hidden="1">'Pakāpju aprēķini'!$B$1:$E$76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 l="1"/>
</calcChain>
</file>

<file path=xl/sharedStrings.xml><?xml version="1.0" encoding="utf-8"?>
<sst xmlns="http://schemas.openxmlformats.org/spreadsheetml/2006/main" count="335" uniqueCount="179">
  <si>
    <t xml:space="preserve">Sektors </t>
  </si>
  <si>
    <t xml:space="preserve">Bāzes mēnešalga 2019.gadā </t>
  </si>
  <si>
    <t>Indeksācijas nosacījumi</t>
  </si>
  <si>
    <t>Sabiedrisko pakalpojumu regulēšanas komisija</t>
  </si>
  <si>
    <t>saskaita Centrālās statistikas pārvaldes oficiālajā statistikas paziņojumā publicēto finanšu un apdrošināšanas jomā strādājošo aizpagājušā gada mēneša vidējās darba samaksas apmēra pieaugumu procentos pret iepriekšējo gadu ar aizpagājušā gada inflāciju procentos pret iepriekšējo gadu un attiecīgo summu dala ar divi</t>
  </si>
  <si>
    <t>saskaita Centrālās statistikas pārvaldes oficiālajā statistikas paziņojumā publicēto elektronisko sakaru un enerģētikas nozarē strādājošo aizpagājušā gada mēneša vidējās darba samaksas apmēra pieaugumu procentos pret iepriekšējo gadu ar aizpagājušā gada inflāciju procentos pret iepriekšējo gadu un attiecīgo summu dala ar divi</t>
  </si>
  <si>
    <t xml:space="preserve">Iestādes  vai amati, kuriem attiecināms </t>
  </si>
  <si>
    <t>saskaita Centrālās statistikas pārvaldes oficiālajā statistikas paziņojumā publicēto valstī strādājošo aizpagājušā gada mēneša vidējās darba samaksas apmēra pieaugumu procentos pret iepriekšējo gadu ar aizpagājušā gada inflāciju procentos pret iepriekšējo gadu un attiecīgo summu dala ar divi</t>
  </si>
  <si>
    <t xml:space="preserve">Valstī strādājošo 2017.gada mēneša vidējās darba samaksas apmērs </t>
  </si>
  <si>
    <t xml:space="preserve">Finanšu un apdrošināšanas jomā strādājošo 2017.gada mēneša vidējās darba samaksas apmērs </t>
  </si>
  <si>
    <t>Elektronisko sakaru un enerģētikas nozarē strādājošo 2017.gada mēneša vidējās darba samaksas apmērs</t>
  </si>
  <si>
    <t>Indeksācijas aprēķins 2020.gadam</t>
  </si>
  <si>
    <t>Rajona tiesas tiesnesis, rajona prokurors, Konkurences padome, Datu valsts inspekcija, pašvaldības deputāti, domes priekšsēdētājs, domes priekšsēdētāja vietnieks, domes komitejas priekšsēdētājs, domes komitejas priekšsēdētāja vietnieks, Saeimas deputātam, Ministru prezidentam, Ministru prezidenta biedram, ministram, paralamentārajam sekretāram, valsts kontrolierim, Valsts kontroles padomes locekļiem, tiesībsargam, NEPLP priekšsēdētājam, NEPLP priekšsēdētāja vietniekam, NEPLP loceklim, CVK priekšsēdētājam, CVK priekšsēdētāja vietniekam, CVK sekretāram, CVK loceklim, CZK priekšsēdētājam, Augstākās izglītības padomes priekšsēdētājam, Augstākās izglītības padomes loceklim</t>
  </si>
  <si>
    <t xml:space="preserve">Informācija par nākamā gada (2020.gada) bāzes mēnešalgu apmēru </t>
  </si>
  <si>
    <t xml:space="preserve">Pašvaldības deputāts </t>
  </si>
  <si>
    <t xml:space="preserve">Likumā noteiktais koeficients </t>
  </si>
  <si>
    <t>Pašvaldības domes priekšsēdētāja vietnieks</t>
  </si>
  <si>
    <t xml:space="preserve">Pašvaldību ievēlēto amatpersonu mēnešalgas nedrīkst pārsniegt: </t>
  </si>
  <si>
    <t xml:space="preserve">Pašvaldības domes komitejas priekšsēdētājs </t>
  </si>
  <si>
    <t>Pašvaldības domes komitejas priekšsēdētāja vietnieks</t>
  </si>
  <si>
    <t>Centrālā vēlēšanu komisija</t>
  </si>
  <si>
    <t>CVK priekšsēdētājs</t>
  </si>
  <si>
    <t>CVK priekšsēdētāja vietnieks</t>
  </si>
  <si>
    <t>CVK sekretārs</t>
  </si>
  <si>
    <t>CVK loceklis</t>
  </si>
  <si>
    <t>Centrālā zemes komisija</t>
  </si>
  <si>
    <t>CZK priekšsēdētājs</t>
  </si>
  <si>
    <t xml:space="preserve">Augstākās izglītības padome </t>
  </si>
  <si>
    <t>AIP priekšsēdētājs</t>
  </si>
  <si>
    <t>AIP loceklis</t>
  </si>
  <si>
    <t>Datu valsts inspekcija</t>
  </si>
  <si>
    <t>Datu valsts inspekcijas amatpersonu (darbinieku) mēnešalgas maksimālais apmērs</t>
  </si>
  <si>
    <t>Konkurences padome</t>
  </si>
  <si>
    <t>Konkurences padomes amatpersonu (darbinieku) mēnešalgas maksimālais apmērs</t>
  </si>
  <si>
    <t xml:space="preserve">Nacionālās elektronisko plašsaziņas līdzekļu padome </t>
  </si>
  <si>
    <t>NEPLP priekšsēdētājs</t>
  </si>
  <si>
    <t>NEPLP priekšsēdētāja vietnieks</t>
  </si>
  <si>
    <t xml:space="preserve">NEPLP loceklis </t>
  </si>
  <si>
    <t>Tiesībsargs</t>
  </si>
  <si>
    <t>Valsts kontrole</t>
  </si>
  <si>
    <t>valsts kontrolieris</t>
  </si>
  <si>
    <t xml:space="preserve">padomes loceklis </t>
  </si>
  <si>
    <t>Inormācija par vēlēto amatpersonu un Saeimas iecelto amatpersonu mēnešalgu apmēru 2020.gadā</t>
  </si>
  <si>
    <t>Sabiedrisko pakalpojumu regulēšanas komisijas  amatpersonu (darbinieku) mēnešalgas maksimālais apmērs</t>
  </si>
  <si>
    <t>Finanšu un kapitāla tirgus komisija</t>
  </si>
  <si>
    <t>Kontroles dienesta amatpersonu (darbinieku) mēnešalgas maksimālais apmērs</t>
  </si>
  <si>
    <t xml:space="preserve">FKTK amatpersonu (darbinieku) mēnešalgas maksimālais apmērs </t>
  </si>
  <si>
    <t>Rajona (pilsētas) tiesas tiesnesis</t>
  </si>
  <si>
    <t>Rajona (pilsētas) prokurors</t>
  </si>
  <si>
    <t xml:space="preserve">Informācija par tiesnešu un prokuroru mēnešalgas apmēru 2020.gadā </t>
  </si>
  <si>
    <t>Saeimas deputāts</t>
  </si>
  <si>
    <t xml:space="preserve">Informācija par Saeimas deputātu, Ministru kabienta locekļu un parlamentāro sekretāru mēnešalgas apmēru 2020.gadā  </t>
  </si>
  <si>
    <t>Ministru prezidents</t>
  </si>
  <si>
    <t>Ministru prezidenta biedrs</t>
  </si>
  <si>
    <t>ministrs</t>
  </si>
  <si>
    <t>parlamentārais sekretārs</t>
  </si>
  <si>
    <t xml:space="preserve">Pašvaldības domes priekšsēdētājs </t>
  </si>
  <si>
    <t xml:space="preserve"> Noziedzīgi iegūtu līdzekļu legalizācijas novēršanas dienests (Kontroles dienests)</t>
  </si>
  <si>
    <r>
      <t>((5,5%+7,8%)/2+2,5%)/2 =</t>
    </r>
    <r>
      <rPr>
        <b/>
        <sz val="11"/>
        <color theme="1"/>
        <rFont val="Calibri"/>
        <family val="2"/>
        <charset val="186"/>
        <scheme val="minor"/>
      </rPr>
      <t>4,575%</t>
    </r>
  </si>
  <si>
    <r>
      <t>(3,6%+2,5%)/2=</t>
    </r>
    <r>
      <rPr>
        <b/>
        <sz val="11"/>
        <color theme="1"/>
        <rFont val="Calibri"/>
        <family val="2"/>
        <charset val="186"/>
        <scheme val="minor"/>
      </rPr>
      <t>3,05%</t>
    </r>
  </si>
  <si>
    <r>
      <t>(8,4%+2,5%)/2=</t>
    </r>
    <r>
      <rPr>
        <b/>
        <sz val="11"/>
        <color theme="1"/>
        <rFont val="Calibri"/>
        <family val="2"/>
        <charset val="186"/>
        <scheme val="minor"/>
      </rPr>
      <t>5,45%</t>
    </r>
  </si>
  <si>
    <t>Finanšu un kapitāla tirgus komisija, Noziedzīgi iegūtu līdzekļu legalizācijas novēršanas dienests (Kontroles dienests)</t>
  </si>
  <si>
    <t xml:space="preserve">Pamatojums: </t>
  </si>
  <si>
    <r>
      <t>Valsts un pašvaldību institūciju amatpersonu un darbinieku atlīdzības likuma 4.panta 2</t>
    </r>
    <r>
      <rPr>
        <vertAlign val="superscript"/>
        <sz val="11"/>
        <color theme="1"/>
        <rFont val="Calibri"/>
        <family val="2"/>
        <charset val="186"/>
        <scheme val="minor"/>
      </rPr>
      <t xml:space="preserve"> 1</t>
    </r>
    <r>
      <rPr>
        <sz val="11"/>
        <color theme="1"/>
        <rFont val="Calibri"/>
        <family val="2"/>
        <charset val="186"/>
        <scheme val="minor"/>
      </rPr>
      <t xml:space="preserve"> daļa </t>
    </r>
  </si>
  <si>
    <r>
      <t xml:space="preserve">apmērs bruto, </t>
    </r>
    <r>
      <rPr>
        <i/>
        <sz val="11"/>
        <color theme="1"/>
        <rFont val="Calibri"/>
        <family val="2"/>
        <charset val="186"/>
        <scheme val="minor"/>
      </rPr>
      <t>euro</t>
    </r>
  </si>
  <si>
    <r>
      <t xml:space="preserve">Bāzes alga 2020.gadam (bruto), </t>
    </r>
    <r>
      <rPr>
        <i/>
        <sz val="11"/>
        <color theme="1"/>
        <rFont val="Calibri"/>
        <family val="2"/>
        <charset val="186"/>
        <scheme val="minor"/>
      </rPr>
      <t>euro</t>
    </r>
  </si>
  <si>
    <t>Kārtējā gada bāzes mēnešalga 2020.gadam (bruto), euro</t>
  </si>
  <si>
    <t>Kārtējā gada mēnešalga (maksimālā mēnešalga) 2020.gadam (bruto), euro</t>
  </si>
  <si>
    <t xml:space="preserve">Ostu valdes locekļu mēnešalga </t>
  </si>
  <si>
    <t>transporta jomā strādājošo 2017.gada mēneša vidējās darba samaksas apmērs</t>
  </si>
  <si>
    <t xml:space="preserve">Informācija par ostu valdes locekļu mēnešalgas apmēru 2020.gadā </t>
  </si>
  <si>
    <t xml:space="preserve">Ostu valdes loceklis mazā ostā  </t>
  </si>
  <si>
    <t xml:space="preserve">MK noteikumos Nr. 741  noteiktais koeficients </t>
  </si>
  <si>
    <t xml:space="preserve">Ostu valdes loceklis vidējā ostā  </t>
  </si>
  <si>
    <t xml:space="preserve">Ostu valdes loceklis lielā ostā  </t>
  </si>
  <si>
    <t>iesaldēts</t>
  </si>
  <si>
    <t xml:space="preserve">Saeimas deputāts * </t>
  </si>
  <si>
    <t>* saskaņā ar likuma pārejas noteikumiem - atlīdzības pieaugums iesaldēts līdz 14.Saeimai</t>
  </si>
  <si>
    <t>Nr.</t>
  </si>
  <si>
    <t>p. k.</t>
  </si>
  <si>
    <t>Mēnešalgu grupa</t>
  </si>
  <si>
    <t>Mēnešalgu intervāla koeficients pret bāzes mēnešalgu</t>
  </si>
  <si>
    <t>minimums</t>
  </si>
  <si>
    <t>viduspunkts</t>
  </si>
  <si>
    <t>maksimums</t>
  </si>
  <si>
    <t>1.</t>
  </si>
  <si>
    <t>2.</t>
  </si>
  <si>
    <t>3.</t>
  </si>
  <si>
    <t>4.</t>
  </si>
  <si>
    <t>5.</t>
  </si>
  <si>
    <t>6.</t>
  </si>
  <si>
    <t>7.</t>
  </si>
  <si>
    <t>8.</t>
  </si>
  <si>
    <t>9.</t>
  </si>
  <si>
    <t>10.</t>
  </si>
  <si>
    <t>11.</t>
  </si>
  <si>
    <t>12.</t>
  </si>
  <si>
    <t>13.</t>
  </si>
  <si>
    <t>14.</t>
  </si>
  <si>
    <t>15.</t>
  </si>
  <si>
    <t>16.</t>
  </si>
  <si>
    <t>Mēnešalgu intervāli</t>
  </si>
  <si>
    <t>(koeficienti pret bāzes mēnešalgu)</t>
  </si>
  <si>
    <t>minimums*</t>
  </si>
  <si>
    <t>17.</t>
  </si>
  <si>
    <t>minimums**</t>
  </si>
  <si>
    <t>**3. pielikumā noteiktais minimums valsts un pašvaldības institūcijai jāsasniedz līdz 2027. gada 1. janvārim.</t>
  </si>
  <si>
    <t>spēkā no 01.07.2022.</t>
  </si>
  <si>
    <t>Likuma 3. pielikums</t>
  </si>
  <si>
    <t>Mēneš-algu grupa Likum-projektā</t>
  </si>
  <si>
    <r>
      <t xml:space="preserve">Minimums </t>
    </r>
    <r>
      <rPr>
        <b/>
        <i/>
        <sz val="11"/>
        <color theme="1"/>
        <rFont val="Times New Roman"/>
        <family val="1"/>
        <charset val="186"/>
      </rPr>
      <t>euro</t>
    </r>
  </si>
  <si>
    <r>
      <t xml:space="preserve">Viduspunkts, </t>
    </r>
    <r>
      <rPr>
        <b/>
        <i/>
        <sz val="11"/>
        <color theme="1"/>
        <rFont val="Times New Roman"/>
        <family val="1"/>
        <charset val="186"/>
      </rPr>
      <t>euro</t>
    </r>
  </si>
  <si>
    <r>
      <t xml:space="preserve">Maksimums </t>
    </r>
    <r>
      <rPr>
        <b/>
        <i/>
        <sz val="11"/>
        <color theme="1"/>
        <rFont val="Times New Roman"/>
        <family val="1"/>
        <charset val="186"/>
      </rPr>
      <t>euro</t>
    </r>
  </si>
  <si>
    <t> -</t>
  </si>
  <si>
    <t>- </t>
  </si>
  <si>
    <t>(euro)</t>
  </si>
  <si>
    <r>
      <t xml:space="preserve">Mēnešalgu skala ar intervāliem valsts un pašvaldību institūcijās nodarbinātajiem ierēdņiem un darbiniekiem (t.sk. arī KNAB un VID) - izteikta </t>
    </r>
    <r>
      <rPr>
        <i/>
        <sz val="11"/>
        <color theme="1"/>
        <rFont val="Calibri"/>
        <family val="2"/>
        <charset val="186"/>
        <scheme val="minor"/>
      </rPr>
      <t>euro (</t>
    </r>
    <r>
      <rPr>
        <sz val="11"/>
        <color theme="1"/>
        <rFont val="Calibri"/>
        <family val="2"/>
        <charset val="186"/>
        <scheme val="minor"/>
      </rPr>
      <t>likuma 3.pielikums)</t>
    </r>
  </si>
  <si>
    <t>Viduspunkts</t>
  </si>
  <si>
    <t>Minimums</t>
  </si>
  <si>
    <t>Maksimums</t>
  </si>
  <si>
    <t>6. pakāpe</t>
  </si>
  <si>
    <t>Pakāpes</t>
  </si>
  <si>
    <t>Šīm pakāpēm ir mainīta aprēķinu formula, lai tās nepārsniegtu minimumu vai maksimumu.</t>
  </si>
  <si>
    <t>Amats</t>
  </si>
  <si>
    <t>Vārds</t>
  </si>
  <si>
    <t>Uzvārds</t>
  </si>
  <si>
    <t>Amatu saime</t>
  </si>
  <si>
    <t>Līmenis</t>
  </si>
  <si>
    <t>Individuālās mēnešalgas sākotnējā pakāpe</t>
  </si>
  <si>
    <t>Esošās mēnešalgas un piemaksu kopsumma</t>
  </si>
  <si>
    <t>Mēnešalga ar pieauguma griestiem 25%</t>
  </si>
  <si>
    <t>Darbinieka individuālās mēnešalgas noteikšanas tabula</t>
  </si>
  <si>
    <t>Esošā mēnešalga EUR</t>
  </si>
  <si>
    <t>Pastāvīgā piemaksa (piemaksas) EUR</t>
  </si>
  <si>
    <t>1,00-1,50</t>
  </si>
  <si>
    <t>1. pakāpe</t>
  </si>
  <si>
    <t>1,60-1,80</t>
  </si>
  <si>
    <t>2. pakāpe</t>
  </si>
  <si>
    <t>1,90 -2,20</t>
  </si>
  <si>
    <t>3. pakāpe</t>
  </si>
  <si>
    <t>2,30 - 2,80</t>
  </si>
  <si>
    <t>4. pakāpe</t>
  </si>
  <si>
    <t>5. pakāpe</t>
  </si>
  <si>
    <t>2,90 - 3,30</t>
  </si>
  <si>
    <t>3,40 - 3,80</t>
  </si>
  <si>
    <t>3,90 - 4,20</t>
  </si>
  <si>
    <t>7. pakāpe</t>
  </si>
  <si>
    <t>4,30 līdz 4,80</t>
  </si>
  <si>
    <t>8. pakāpe</t>
  </si>
  <si>
    <t>Pakāpes koeficients</t>
  </si>
  <si>
    <t>Individuālās mēnešalgas kalibrētā pakāpe</t>
  </si>
  <si>
    <t>Mēnešalgas pieaugums EUR</t>
  </si>
  <si>
    <t>Mēnešalgas pieaugums %</t>
  </si>
  <si>
    <t>Darba sniegums</t>
  </si>
  <si>
    <t>Darba apjoms</t>
  </si>
  <si>
    <t>Koeficients</t>
  </si>
  <si>
    <t>Pakāpe</t>
  </si>
  <si>
    <t>Kvalifikācija un kompetences</t>
  </si>
  <si>
    <t>Iestāde</t>
  </si>
  <si>
    <r>
      <t xml:space="preserve">Darba apjoma līmenis
</t>
    </r>
    <r>
      <rPr>
        <i/>
        <sz val="9"/>
        <color theme="1"/>
        <rFont val="Calibri (Body)"/>
        <family val="2"/>
      </rPr>
      <t>(3 punkti=pārsniedz standarta apjomu, 2 punkti=atbilst standarta apjomam, 1=nesasniedz standarta apjomu),</t>
    </r>
    <r>
      <rPr>
        <b/>
        <sz val="11"/>
        <color theme="1"/>
        <rFont val="Calibri"/>
        <family val="2"/>
        <scheme val="minor"/>
      </rPr>
      <t xml:space="preserve">
40 % īpatsvars</t>
    </r>
  </si>
  <si>
    <t>Individuālās mēnešalgas vērtējums</t>
  </si>
  <si>
    <t>Individuālās mēnešalgas pakāpe</t>
  </si>
  <si>
    <t>1.pakāpe</t>
  </si>
  <si>
    <t>2.pakāpe</t>
  </si>
  <si>
    <t>1,6 - 1,8</t>
  </si>
  <si>
    <t>Kritēriju vērtējums (Iegūtie punkti)</t>
  </si>
  <si>
    <t>3.pakāpe</t>
  </si>
  <si>
    <t>1,9 - 2,2</t>
  </si>
  <si>
    <t>4.pakāpe</t>
  </si>
  <si>
    <t>2,3 - 2,8</t>
  </si>
  <si>
    <t>1,0 - 1,5</t>
  </si>
  <si>
    <t>5.pakāpe</t>
  </si>
  <si>
    <t>2,9 - 3,3</t>
  </si>
  <si>
    <t>6.pakāpe</t>
  </si>
  <si>
    <t>3,4 - 3,8</t>
  </si>
  <si>
    <r>
      <t xml:space="preserve">Profesionālās kvalifikācijas un kompetenču līmenis
</t>
    </r>
    <r>
      <rPr>
        <i/>
        <sz val="9"/>
        <color theme="1"/>
        <rFont val="Calibri (Body)"/>
        <family val="2"/>
      </rPr>
      <t>(3 punkti=pārsniedz prasības , 2 punkti=atbilst prasībām , 1=neatbilst prasībām,</t>
    </r>
    <r>
      <rPr>
        <sz val="11"/>
        <color theme="1"/>
        <rFont val="Calibri"/>
        <family val="2"/>
        <scheme val="minor"/>
      </rPr>
      <t xml:space="preserve"> </t>
    </r>
    <r>
      <rPr>
        <b/>
        <sz val="11"/>
        <color theme="1"/>
        <rFont val="Calibri"/>
        <family val="2"/>
        <scheme val="minor"/>
      </rPr>
      <t xml:space="preserve">
20% īpatsvars</t>
    </r>
  </si>
  <si>
    <t>Sākotnējam vērtējumam atbilstošā mēnešalga 
(7. pakāpju skala)</t>
  </si>
  <si>
    <t>Kalibrētajam vērtējumam atbilstošā mēnešalga
(7. pakāpju skala)</t>
  </si>
  <si>
    <r>
      <t xml:space="preserve">Darba snieguma līmenis
</t>
    </r>
    <r>
      <rPr>
        <i/>
        <sz val="9"/>
        <color theme="1"/>
        <rFont val="Calibri (Body)"/>
        <family val="2"/>
      </rPr>
      <t xml:space="preserve">(5 punkti=pārsniedz prasības , 4 punkti=daļēji pārsniedz prasības, 3 punkti=atbilst prasībām , 2 punkti=daļēji atbilst prasībām , 1=neatbilst prasībām </t>
    </r>
    <r>
      <rPr>
        <b/>
        <sz val="9"/>
        <color theme="1"/>
        <rFont val="Calibri (Body)"/>
        <family val="2"/>
      </rPr>
      <t xml:space="preserve">
4</t>
    </r>
    <r>
      <rPr>
        <b/>
        <sz val="11"/>
        <color theme="1"/>
        <rFont val="Calibri (Body)"/>
        <family val="2"/>
      </rPr>
      <t>0% īpatsvars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</si>
</sst>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font>
      <sz val="11"/>
      <color theme="1"/>
      <name val="Calibri"/>
      <family val="2"/>
      <charset val="186"/>
      <scheme val="minor"/>
    </font>
    <font>
      <sz val="10"/>
      <color theme="1"/>
      <name val="Arial"/>
      <family val="2"/>
    </font>
    <font>
      <b/>
      <sz val="11"/>
      <color theme="1"/>
      <name val="Calibri"/>
      <family val="2"/>
      <charset val="186"/>
      <scheme val="minor"/>
    </font>
    <font>
      <i/>
      <sz val="11"/>
      <color theme="1"/>
      <name val="Calibri"/>
      <family val="2"/>
      <charset val="186"/>
      <scheme val="minor"/>
    </font>
    <font>
      <sz val="11"/>
      <name val="Calibri"/>
      <family val="2"/>
      <charset val="186"/>
      <scheme val="minor"/>
    </font>
    <font>
      <vertAlign val="superscript"/>
      <sz val="11"/>
      <color theme="1"/>
      <name val="Calibri"/>
      <family val="2"/>
      <charset val="186"/>
      <scheme val="minor"/>
    </font>
    <font>
      <sz val="11"/>
      <color rgb="FF333333"/>
      <name val="PT Serif"/>
      <family val="1"/>
      <charset val="186"/>
    </font>
    <font>
      <sz val="12"/>
      <color rgb="FF333333"/>
      <name val="Calibri"/>
      <family val="2"/>
      <charset val="186"/>
      <scheme val="minor"/>
    </font>
    <font>
      <sz val="12"/>
      <color theme="1"/>
      <name val="Calibri"/>
      <family val="2"/>
      <charset val="186"/>
      <scheme val="minor"/>
    </font>
    <font>
      <b/>
      <sz val="11"/>
      <color rgb="FFFF0000"/>
      <name val="Calibri"/>
      <family val="2"/>
      <charset val="186"/>
      <scheme val="minor"/>
    </font>
    <font>
      <sz val="8"/>
      <color rgb="FF333333"/>
      <name val="PT Serif"/>
      <family val="1"/>
      <charset val="186"/>
    </font>
    <font>
      <sz val="12"/>
      <color theme="1"/>
      <name val="Times New Roman"/>
      <family val="1"/>
      <charset val="186"/>
    </font>
    <font>
      <sz val="13"/>
      <color rgb="FF333333"/>
      <name val="Times New Roman"/>
      <family val="1"/>
      <charset val="186"/>
    </font>
    <font>
      <sz val="11"/>
      <color theme="1"/>
      <name val="Times New Roman"/>
      <family val="1"/>
      <charset val="186"/>
    </font>
    <font>
      <sz val="12"/>
      <color rgb="FF000000"/>
      <name val="Times New Roman"/>
      <family val="1"/>
      <charset val="186"/>
    </font>
    <font>
      <b/>
      <i/>
      <sz val="11"/>
      <color theme="1"/>
      <name val="Times New Roman"/>
      <family val="1"/>
      <charset val="186"/>
    </font>
    <font>
      <sz val="11"/>
      <color rgb="FF000000"/>
      <name val="Times New Roman"/>
      <family val="1"/>
      <charset val="186"/>
    </font>
    <font>
      <sz val="11"/>
      <color rgb="FF000000"/>
      <name val="Calibri"/>
      <family val="2"/>
      <charset val="186"/>
      <scheme val="minor"/>
    </font>
    <font>
      <sz val="11"/>
      <color rgb="FF333333"/>
      <name val="Calibri"/>
      <family val="2"/>
      <charset val="186"/>
      <scheme val="minor"/>
    </font>
    <font>
      <b/>
      <sz val="20"/>
      <color theme="1"/>
      <name val="Calibri"/>
      <family val="2"/>
      <scheme val="minor"/>
    </font>
    <font>
      <b/>
      <sz val="9"/>
      <color theme="1"/>
      <name val="Calibri (Body)"/>
      <family val="2"/>
    </font>
    <font>
      <i/>
      <sz val="9"/>
      <color theme="1"/>
      <name val="Calibri (Body)"/>
      <family val="2"/>
    </font>
    <font>
      <b/>
      <sz val="11"/>
      <color theme="1"/>
      <name val="Calibri (Body)"/>
      <family val="2"/>
    </font>
  </fonts>
  <fills count="10">
    <fill>
      <patternFill patternType="none"/>
    </fill>
    <fill>
      <patternFill patternType="gray125"/>
    </fill>
    <fill>
      <patternFill patternType="solid">
        <fgColor rgb="FFFFFFFF"/>
        <bgColor indexed="64"/>
      </patternFill>
    </fill>
    <fill>
      <patternFill patternType="solid">
        <fgColor theme="9" tint="0.5999299883842468"/>
        <bgColor indexed="64"/>
      </patternFill>
    </fill>
    <fill>
      <patternFill patternType="solid">
        <fgColor theme="7" tint="0.5999299883842468"/>
        <bgColor indexed="64"/>
      </patternFill>
    </fill>
    <fill>
      <patternFill patternType="solid">
        <fgColor theme="5" tint="0.5999299883842468"/>
        <bgColor indexed="64"/>
      </patternFill>
    </fill>
    <fill>
      <patternFill patternType="solid">
        <fgColor theme="8" tint="0.5999299883842468"/>
        <bgColor indexed="64"/>
      </patternFill>
    </fill>
    <fill>
      <patternFill patternType="solid">
        <fgColor theme="7" tint="0.39998000860214233"/>
        <bgColor indexed="64"/>
      </patternFill>
    </fill>
    <fill>
      <patternFill patternType="solid">
        <fgColor rgb="FF92D050"/>
        <bgColor indexed="64"/>
      </patternFill>
    </fill>
    <fill>
      <patternFill patternType="solid">
        <fgColor theme="5"/>
        <bgColor indexed="64"/>
      </patternFill>
    </fill>
  </fills>
  <borders count="22">
    <border>
      <left/>
      <right/>
      <top/>
      <bottom/>
      <diagonal/>
    </border>
    <border>
      <left style="medium">
        <color rgb="FF817F7F"/>
      </left>
      <right style="medium">
        <color rgb="FF817F7F"/>
      </right>
      <top style="medium">
        <color rgb="FF817F7F"/>
      </top>
      <bottom/>
    </border>
    <border>
      <left/>
      <right style="medium">
        <color rgb="FF817F7F"/>
      </right>
      <top style="medium">
        <color rgb="FF817F7F"/>
      </top>
      <bottom style="medium">
        <color rgb="FF817F7F"/>
      </bottom>
    </border>
    <border>
      <left/>
      <right/>
      <top style="medium">
        <color rgb="FF817F7F"/>
      </top>
      <bottom style="medium">
        <color rgb="FF817F7F"/>
      </bottom>
    </border>
    <border>
      <left style="medium">
        <color rgb="FF817F7F"/>
      </left>
      <right/>
      <top style="medium">
        <color rgb="FF817F7F"/>
      </top>
      <bottom style="medium">
        <color rgb="FF817F7F"/>
      </bottom>
    </border>
    <border>
      <left style="medium">
        <color rgb="FF817F7F"/>
      </left>
      <right style="medium">
        <color rgb="FF817F7F"/>
      </right>
      <top/>
      <bottom style="medium">
        <color rgb="FF817F7F"/>
      </bottom>
    </border>
    <border>
      <left style="thin">
        <color auto="1"/>
      </left>
      <right style="thin">
        <color auto="1"/>
      </right>
      <top style="thin">
        <color auto="1"/>
      </top>
      <bottom style="thin">
        <color auto="1"/>
      </bottom>
    </border>
    <border>
      <left style="medium">
        <color rgb="FF817F7F"/>
      </left>
      <right style="medium">
        <color rgb="FF817F7F"/>
      </right>
      <top style="medium">
        <color rgb="FF817F7F"/>
      </top>
      <bottom style="medium">
        <color rgb="FF817F7F"/>
      </bottom>
    </border>
    <border>
      <left/>
      <right style="medium">
        <color auto="1"/>
      </right>
      <top/>
      <bottom style="medium">
        <color auto="1"/>
      </bottom>
    </border>
    <border>
      <left style="medium">
        <color auto="1"/>
      </left>
      <right style="medium">
        <color auto="1"/>
      </right>
      <top/>
      <bottom style="medium">
        <color auto="1"/>
      </bottom>
    </border>
    <border>
      <left style="medium">
        <color auto="1"/>
      </left>
      <right style="medium">
        <color auto="1"/>
      </right>
      <top style="medium">
        <color auto="1"/>
      </top>
      <bottom style="medium">
        <color auto="1"/>
      </bottom>
    </border>
    <border>
      <left/>
      <right style="medium">
        <color auto="1"/>
      </right>
      <top style="medium">
        <color auto="1"/>
      </top>
      <bottom style="medium">
        <color auto="1"/>
      </bottom>
    </border>
    <border>
      <left style="medium">
        <color auto="1"/>
      </left>
      <right style="medium">
        <color auto="1"/>
      </right>
      <top style="medium">
        <color auto="1"/>
      </top>
      <bottom/>
    </border>
    <border>
      <left style="medium">
        <color auto="1"/>
      </left>
      <right style="medium">
        <color auto="1"/>
      </right>
      <top/>
      <bottom/>
    </border>
    <border>
      <left style="medium">
        <color auto="1"/>
      </left>
      <right/>
      <top style="medium">
        <color auto="1"/>
      </top>
      <bottom/>
    </border>
    <border>
      <left/>
      <right/>
      <top style="medium">
        <color auto="1"/>
      </top>
      <bottom/>
    </border>
    <border>
      <left/>
      <right style="medium">
        <color auto="1"/>
      </right>
      <top style="medium">
        <color auto="1"/>
      </top>
      <bottom/>
    </border>
    <border>
      <left style="medium">
        <color auto="1"/>
      </left>
      <right/>
      <top/>
      <bottom/>
    </border>
    <border>
      <left/>
      <right style="medium">
        <color auto="1"/>
      </right>
      <top/>
      <bottom/>
    </border>
    <border>
      <left style="medium">
        <color auto="1"/>
      </left>
      <right/>
      <top/>
      <bottom style="thin">
        <color auto="1"/>
      </bottom>
    </border>
    <border>
      <left/>
      <right/>
      <top/>
      <bottom style="thin">
        <color auto="1"/>
      </bottom>
    </border>
    <border>
      <left/>
      <right style="medium">
        <color auto="1"/>
      </right>
      <top/>
      <bottom style="thin">
        <color auto="1"/>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0" fillId="0" borderId="0" applyFont="0" applyFill="0" applyBorder="0" applyAlignment="0" applyProtection="0"/>
  </cellStyleXfs>
  <cellXfs count="111">
    <xf numFmtId="0" fontId="0" fillId="0" borderId="0" xfId="0"/>
    <xf numFmtId="0" fontId="7"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6" xfId="0" applyFont="1" applyBorder="1" applyAlignment="1">
      <alignment horizontal="center"/>
    </xf>
    <xf numFmtId="0" fontId="2" fillId="0" borderId="0" xfId="0" applyFont="1" applyAlignment="1">
      <alignment horizontal="center" wrapText="1"/>
    </xf>
    <xf numFmtId="0" fontId="3" fillId="0" borderId="6" xfId="0" applyFont="1" applyBorder="1" applyAlignment="1">
      <alignment horizontal="center"/>
    </xf>
    <xf numFmtId="0" fontId="0" fillId="0" borderId="6" xfId="0" applyBorder="1" applyAlignment="1">
      <alignment horizontal="center" wrapText="1"/>
    </xf>
    <xf numFmtId="0" fontId="0" fillId="0" borderId="6" xfId="0" applyBorder="1" applyAlignment="1">
      <alignment horizontal="center" vertical="center" wrapText="1"/>
    </xf>
    <xf numFmtId="0" fontId="0" fillId="0" borderId="6" xfId="0" applyBorder="1" applyAlignment="1">
      <alignment horizontal="center"/>
    </xf>
    <xf numFmtId="0" fontId="2" fillId="0" borderId="0" xfId="0" applyFont="1" applyAlignment="1">
      <alignment horizontal="center"/>
    </xf>
    <xf numFmtId="0" fontId="0" fillId="0" borderId="0" xfId="0" applyAlignment="1">
      <alignment horizontal="right" wrapText="1"/>
    </xf>
    <xf numFmtId="0" fontId="7"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6" xfId="0" applyFont="1" applyBorder="1" applyAlignment="1">
      <alignment horizontal="center"/>
    </xf>
    <xf numFmtId="0" fontId="3" fillId="0" borderId="6" xfId="0" applyFont="1" applyBorder="1" applyAlignment="1">
      <alignment horizontal="center"/>
    </xf>
    <xf numFmtId="0" fontId="0" fillId="0" borderId="6" xfId="0" applyBorder="1" applyAlignment="1">
      <alignment horizontal="center" vertical="center" wrapText="1"/>
    </xf>
    <xf numFmtId="0" fontId="0" fillId="0" borderId="6" xfId="0" applyBorder="1" applyAlignment="1">
      <alignment horizontal="center"/>
    </xf>
    <xf numFmtId="0" fontId="2" fillId="0" borderId="0" xfId="0" applyFont="1" applyAlignment="1">
      <alignment horizontal="center"/>
    </xf>
    <xf numFmtId="0" fontId="0" fillId="0" borderId="0" xfId="0" applyAlignment="1">
      <alignment wrapText="1"/>
    </xf>
    <xf numFmtId="0" fontId="0" fillId="0" borderId="0" xfId="0" applyAlignment="1">
      <alignment horizontal="center"/>
    </xf>
    <xf numFmtId="0" fontId="2" fillId="0" borderId="6" xfId="0" applyFont="1" applyBorder="1" applyAlignment="1">
      <alignment horizontal="center" vertical="center"/>
    </xf>
    <xf numFmtId="0" fontId="0" fillId="0" borderId="6" xfId="0" applyBorder="1" applyAlignment="1">
      <alignment wrapText="1"/>
    </xf>
    <xf numFmtId="0" fontId="0" fillId="0" borderId="6" xfId="0" applyBorder="1" applyAlignment="1">
      <alignment horizontal="center" vertical="center"/>
    </xf>
    <xf numFmtId="0" fontId="4" fillId="0" borderId="6" xfId="0" applyFont="1" applyBorder="1" applyAlignment="1">
      <alignment wrapText="1"/>
    </xf>
    <xf numFmtId="0" fontId="0" fillId="0" borderId="6" xfId="0" applyBorder="1" applyAlignment="1">
      <alignment vertical="center" wrapText="1"/>
    </xf>
    <xf numFmtId="0" fontId="0" fillId="0" borderId="6" xfId="0" applyBorder="1"/>
    <xf numFmtId="0" fontId="0" fillId="0" borderId="6" xfId="0" applyBorder="1" applyAlignment="1">
      <alignment horizontal="right"/>
    </xf>
    <xf numFmtId="0" fontId="0" fillId="0" borderId="0" xfId="0" applyAlignment="1">
      <alignment horizontal="right"/>
    </xf>
    <xf numFmtId="1" fontId="0" fillId="0" borderId="6" xfId="0" applyNumberFormat="1" applyBorder="1"/>
    <xf numFmtId="1" fontId="0" fillId="0" borderId="6" xfId="0" applyNumberFormat="1" applyBorder="1" applyAlignment="1">
      <alignment horizontal="right"/>
    </xf>
    <xf numFmtId="0" fontId="0" fillId="0" borderId="6" xfId="0" applyBorder="1" applyAlignment="1">
      <alignment vertical="center"/>
    </xf>
    <xf numFmtId="0" fontId="6"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4" xfId="0" applyFont="1" applyFill="1" applyBorder="1" applyAlignment="1">
      <alignment horizontal="center" vertical="center" wrapText="1"/>
    </xf>
    <xf numFmtId="1" fontId="8" fillId="0" borderId="6" xfId="0" applyNumberFormat="1" applyFont="1" applyBorder="1"/>
    <xf numFmtId="1" fontId="0" fillId="0" borderId="6" xfId="0" applyNumberFormat="1" applyBorder="1" applyAlignment="1">
      <alignment horizontal="center"/>
    </xf>
    <xf numFmtId="0" fontId="9" fillId="0" borderId="0" xfId="0" applyFont="1"/>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0" fontId="11" fillId="0" borderId="0" xfId="0" applyFont="1" applyAlignment="1">
      <alignment vertical="center" wrapText="1"/>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1" xfId="0" applyFont="1" applyBorder="1" applyAlignment="1">
      <alignment horizontal="center" vertical="center"/>
    </xf>
    <xf numFmtId="0" fontId="14" fillId="0" borderId="9" xfId="0" applyFont="1" applyBorder="1" applyAlignment="1">
      <alignment horizontal="center" vertical="center"/>
    </xf>
    <xf numFmtId="0" fontId="14" fillId="2" borderId="8" xfId="0" applyFont="1" applyFill="1" applyBorder="1" applyAlignment="1">
      <alignment horizontal="center" vertical="center" wrapText="1"/>
    </xf>
    <xf numFmtId="0" fontId="16" fillId="0" borderId="8" xfId="0" applyFont="1" applyBorder="1" applyAlignment="1">
      <alignment horizontal="center" vertical="center"/>
    </xf>
    <xf numFmtId="0" fontId="14" fillId="2" borderId="9" xfId="0" applyFont="1" applyFill="1" applyBorder="1" applyAlignment="1">
      <alignment horizontal="center" vertical="center" wrapText="1"/>
    </xf>
    <xf numFmtId="0" fontId="17" fillId="0" borderId="0" xfId="0" applyFont="1"/>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1" fontId="18" fillId="2" borderId="8" xfId="0" applyNumberFormat="1" applyFont="1" applyFill="1" applyBorder="1" applyAlignment="1">
      <alignment horizontal="center" vertical="center"/>
    </xf>
    <xf numFmtId="0" fontId="18" fillId="2" borderId="6" xfId="0" applyFont="1" applyFill="1" applyBorder="1" applyAlignment="1">
      <alignment horizontal="center" vertical="center"/>
    </xf>
    <xf numFmtId="1" fontId="18" fillId="2" borderId="6" xfId="0" applyNumberFormat="1" applyFont="1" applyFill="1" applyBorder="1" applyAlignment="1">
      <alignment horizontal="center" vertical="center"/>
    </xf>
    <xf numFmtId="1" fontId="18" fillId="3" borderId="6" xfId="0" applyNumberFormat="1" applyFont="1" applyFill="1" applyBorder="1" applyAlignment="1">
      <alignment horizontal="center" vertical="center"/>
    </xf>
    <xf numFmtId="0" fontId="0" fillId="3" borderId="0" xfId="0" applyFill="1"/>
    <xf numFmtId="1" fontId="18" fillId="4" borderId="6" xfId="0" applyNumberFormat="1" applyFont="1" applyFill="1" applyBorder="1" applyAlignment="1">
      <alignment horizontal="center" vertical="center"/>
    </xf>
    <xf numFmtId="1" fontId="18" fillId="5" borderId="6" xfId="0" applyNumberFormat="1" applyFont="1" applyFill="1" applyBorder="1" applyAlignment="1">
      <alignment horizontal="center" vertical="center"/>
    </xf>
    <xf numFmtId="1" fontId="18" fillId="6" borderId="6" xfId="0" applyNumberFormat="1" applyFont="1" applyFill="1" applyBorder="1" applyAlignment="1">
      <alignment horizontal="center" vertical="center"/>
    </xf>
    <xf numFmtId="0" fontId="2" fillId="0" borderId="6" xfId="0" applyFont="1" applyBorder="1"/>
    <xf numFmtId="0" fontId="2" fillId="6" borderId="6" xfId="0" applyFont="1" applyFill="1" applyBorder="1" applyAlignment="1">
      <alignment horizontal="center"/>
    </xf>
    <xf numFmtId="0" fontId="2" fillId="4" borderId="6" xfId="0" applyFont="1" applyFill="1" applyBorder="1" applyAlignment="1">
      <alignment horizontal="center"/>
    </xf>
    <xf numFmtId="0" fontId="2" fillId="5" borderId="6" xfId="0" applyFont="1" applyFill="1" applyBorder="1" applyAlignment="1">
      <alignment horizontal="center"/>
    </xf>
    <xf numFmtId="0" fontId="0" fillId="0" borderId="0" xfId="0" applyAlignment="1">
      <alignment horizontal="center" vertical="center"/>
    </xf>
    <xf numFmtId="164" fontId="0" fillId="0" borderId="6" xfId="0" applyNumberFormat="1" applyBorder="1" applyAlignment="1">
      <alignment horizontal="center"/>
    </xf>
    <xf numFmtId="9" fontId="0" fillId="0" borderId="6" xfId="20" applyFont="1" applyBorder="1" applyAlignment="1">
      <alignment horizontal="center"/>
    </xf>
    <xf numFmtId="0" fontId="2" fillId="7" borderId="6" xfId="0" applyFont="1" applyFill="1" applyBorder="1" applyAlignment="1">
      <alignment horizontal="center" vertical="center" wrapText="1"/>
    </xf>
    <xf numFmtId="2" fontId="0" fillId="0" borderId="6" xfId="0" applyNumberFormat="1" applyBorder="1"/>
    <xf numFmtId="0" fontId="0" fillId="3" borderId="6" xfId="0" applyFill="1" applyBorder="1" applyAlignment="1">
      <alignment horizontal="center" vertical="center" wrapText="1"/>
    </xf>
    <xf numFmtId="0" fontId="2" fillId="8" borderId="6"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0" borderId="6" xfId="0" applyFont="1" applyBorder="1" applyAlignment="1">
      <alignment horizontal="center" wrapText="1"/>
    </xf>
    <xf numFmtId="0" fontId="7"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9" fillId="0" borderId="0" xfId="0" applyFont="1" applyAlignment="1">
      <alignment horizontal="center"/>
    </xf>
    <xf numFmtId="0" fontId="0" fillId="0" borderId="0" xfId="0" applyAlignment="1">
      <alignment horizont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0" xfId="0" applyFont="1" applyFill="1" applyAlignment="1">
      <alignment horizontal="center" vertical="center"/>
    </xf>
    <xf numFmtId="0" fontId="12" fillId="2" borderId="18" xfId="0" applyFont="1" applyFill="1" applyBorder="1" applyAlignment="1">
      <alignment horizontal="center" vertical="center"/>
    </xf>
    <xf numFmtId="0" fontId="11" fillId="0" borderId="17" xfId="0" applyFont="1" applyBorder="1" applyAlignment="1">
      <alignment vertical="center" wrapText="1"/>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4"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19"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Procenti" xfId="20" builtinId="5"/>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9" Type="http://schemas.openxmlformats.org/officeDocument/2006/relationships/worksheet" Target="worksheets/sheet7.xml" /><Relationship Id="rId2" Type="http://schemas.openxmlformats.org/officeDocument/2006/relationships/styles" Target="styles.xml" /><Relationship Id="rId12" Type="http://schemas.openxmlformats.org/officeDocument/2006/relationships/calcChain" Target="calcChain.xml" /><Relationship Id="rId5" Type="http://schemas.openxmlformats.org/officeDocument/2006/relationships/worksheet" Target="worksheets/sheet3.xml" /><Relationship Id="rId4" Type="http://schemas.openxmlformats.org/officeDocument/2006/relationships/worksheet" Target="worksheets/sheet2.xml" /><Relationship Id="rId1" Type="http://schemas.openxmlformats.org/officeDocument/2006/relationships/theme" Target="theme/theme1.xml" /><Relationship Id="rId3" Type="http://schemas.openxmlformats.org/officeDocument/2006/relationships/worksheet" Target="worksheets/sheet1.xml" /><Relationship Id="rId10" Type="http://schemas.openxmlformats.org/officeDocument/2006/relationships/worksheet" Target="worksheets/sheet8.xml" /><Relationship Id="rId6" Type="http://schemas.openxmlformats.org/officeDocument/2006/relationships/worksheet" Target="worksheets/sheet4.xml" /><Relationship Id="rId7" Type="http://schemas.openxmlformats.org/officeDocument/2006/relationships/worksheet" Target="worksheets/sheet5.xml" /><Relationship Id="rId8" Type="http://schemas.openxmlformats.org/officeDocument/2006/relationships/worksheet" Target="worksheets/sheet6.xml" /><Relationship Id="rId11"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B1:H12"/>
  <sheetViews>
    <sheetView workbookViewId="0" topLeftCell="A2">
      <selection pane="topLeft" activeCell="A2" sqref="A1:XFD1048576"/>
    </sheetView>
  </sheetViews>
  <sheetFormatPr defaultColWidth="8.714285714285714" defaultRowHeight="15"/>
  <cols>
    <col min="1" max="1" width="4.428571428571429" customWidth="1"/>
    <col min="2" max="2" width="48.42857142857143" customWidth="1"/>
    <col min="3" max="3" width="34.714285714285715" customWidth="1"/>
    <col min="4" max="4" width="18" customWidth="1"/>
    <col min="5" max="5" width="30.714285714285715" customWidth="1"/>
    <col min="6" max="6" width="24.428571428571427" customWidth="1"/>
    <col min="7" max="7" width="18.285714285714285" customWidth="1"/>
    <col min="8" max="8" width="9.142857142857142" hidden="1" customWidth="1"/>
  </cols>
  <sheetData>
    <row r="1" spans="7:7" ht="15">
      <c r="G1" s="32" t="s">
        <v>62</v>
      </c>
    </row>
    <row r="2" spans="5:7" ht="29.25" customHeight="1">
      <c r="E2" s="14" t="s">
        <v>63</v>
      </c>
      <c r="F2" s="14"/>
      <c r="G2" s="14"/>
    </row>
    <row r="4" spans="2:7" ht="15">
      <c r="B4" s="13" t="s">
        <v>13</v>
      </c>
      <c r="C4" s="13"/>
      <c r="D4" s="13"/>
      <c r="E4" s="13"/>
      <c r="F4" s="13"/>
      <c r="G4" s="13"/>
    </row>
    <row r="7" spans="2:7" ht="15">
      <c r="B7" s="10" t="s">
        <v>6</v>
      </c>
      <c r="C7" s="12" t="s">
        <v>1</v>
      </c>
      <c r="D7" s="12"/>
      <c r="E7" s="11" t="s">
        <v>2</v>
      </c>
      <c r="F7" s="11" t="s">
        <v>11</v>
      </c>
      <c r="G7" s="11" t="s">
        <v>65</v>
      </c>
    </row>
    <row r="8" spans="2:7" s="23" customFormat="1" ht="32.25" customHeight="1">
      <c r="B8" s="10"/>
      <c r="C8" s="29" t="s">
        <v>0</v>
      </c>
      <c r="D8" s="29" t="s">
        <v>64</v>
      </c>
      <c r="E8" s="11"/>
      <c r="F8" s="11"/>
      <c r="G8" s="11"/>
    </row>
    <row r="9" spans="2:8" ht="240">
      <c r="B9" s="26" t="s">
        <v>12</v>
      </c>
      <c r="C9" s="29" t="s">
        <v>8</v>
      </c>
      <c r="D9" s="27">
        <v>926</v>
      </c>
      <c r="E9" s="29" t="s">
        <v>7</v>
      </c>
      <c r="F9" s="29" t="s">
        <v>60</v>
      </c>
      <c r="G9" s="25">
        <v>976.47000000000003</v>
      </c>
      <c r="H9">
        <f>926*1.0545</f>
        <v>976.46699999999998</v>
      </c>
    </row>
    <row r="10" spans="2:8" ht="165">
      <c r="B10" s="29" t="s">
        <v>61</v>
      </c>
      <c r="C10" s="29" t="s">
        <v>9</v>
      </c>
      <c r="D10" s="27">
        <v>1921</v>
      </c>
      <c r="E10" s="28" t="s">
        <v>4</v>
      </c>
      <c r="F10" s="27" t="s">
        <v>59</v>
      </c>
      <c r="G10" s="25">
        <v>1979.5899999999999</v>
      </c>
      <c r="H10">
        <f>1921*1.0305</f>
        <v>1979.5905</v>
      </c>
    </row>
    <row r="11" spans="2:8" ht="180">
      <c r="B11" s="29" t="s">
        <v>3</v>
      </c>
      <c r="C11" s="29" t="s">
        <v>10</v>
      </c>
      <c r="D11" s="27">
        <v>1355</v>
      </c>
      <c r="E11" s="26" t="s">
        <v>5</v>
      </c>
      <c r="F11" s="20" t="s">
        <v>58</v>
      </c>
      <c r="G11" s="25">
        <v>1416.99</v>
      </c>
      <c r="H11">
        <f>1355*1.04575</f>
        <v>1416.99125</v>
      </c>
    </row>
    <row r="12" spans="2:8" ht="150">
      <c r="B12" s="35" t="s">
        <v>68</v>
      </c>
      <c r="C12" s="29" t="s">
        <v>69</v>
      </c>
      <c r="D12" s="27">
        <v>918</v>
      </c>
      <c r="E12" s="29" t="s">
        <v>7</v>
      </c>
      <c r="F12" s="29" t="s">
        <v>60</v>
      </c>
      <c r="G12" s="25">
        <v>968.02999999999997</v>
      </c>
      <c r="H12">
        <f>918*1.0545</f>
        <v>968.03099999999995</v>
      </c>
    </row>
  </sheetData>
  <mergeCells count="7">
    <mergeCell ref="E2:G2"/>
    <mergeCell ref="B4:G4"/>
    <mergeCell ref="C7:D7"/>
    <mergeCell ref="F7:F8"/>
    <mergeCell ref="G7:G8"/>
    <mergeCell ref="E7:E8"/>
    <mergeCell ref="B7:B8"/>
  </mergeCells>
  <pageMargins left="0.7086614173228347" right="0.7086614173228347" top="0.7480314960629921" bottom="0.7480314960629921" header="0.31496062992125984" footer="0.31496062992125984"/>
  <pageSetup orientation="landscape" paperSize="9" scale="68"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dimension ref="B1:G73"/>
  <sheetViews>
    <sheetView workbookViewId="0" topLeftCell="A55">
      <selection pane="topLeft" activeCell="A55" sqref="A1:XFD1048576"/>
    </sheetView>
  </sheetViews>
  <sheetFormatPr defaultColWidth="8.714285714285714" defaultRowHeight="15"/>
  <cols>
    <col min="2" max="2" width="54.42857142857143" customWidth="1"/>
    <col min="3" max="4" width="15.428571428571429" customWidth="1"/>
    <col min="5" max="5" width="18.142857142857142" customWidth="1"/>
    <col min="7" max="7" width="39.714285714285715" customWidth="1"/>
  </cols>
  <sheetData>
    <row r="1" spans="2:5" ht="15">
      <c r="B1" s="13" t="s">
        <v>42</v>
      </c>
      <c r="C1" s="13"/>
      <c r="D1" s="13"/>
      <c r="E1" s="13"/>
    </row>
    <row r="3" spans="2:7" ht="90">
      <c r="B3" s="30"/>
      <c r="C3" s="26" t="s">
        <v>15</v>
      </c>
      <c r="D3" s="26" t="s">
        <v>65</v>
      </c>
      <c r="E3" s="26" t="s">
        <v>67</v>
      </c>
      <c r="G3" s="23"/>
    </row>
    <row r="4" spans="2:6" ht="15">
      <c r="B4" s="9" t="s">
        <v>17</v>
      </c>
      <c r="C4" s="9"/>
      <c r="D4" s="9"/>
      <c r="E4" s="9"/>
      <c r="F4" s="24"/>
    </row>
    <row r="5" spans="2:5" ht="15">
      <c r="B5" s="30" t="s">
        <v>14</v>
      </c>
      <c r="C5" s="30">
        <v>1.2</v>
      </c>
      <c r="D5" s="30">
        <v>976.47000000000003</v>
      </c>
      <c r="E5" s="33">
        <f>976.47*1.2</f>
        <v>1171.7639999999999</v>
      </c>
    </row>
    <row r="6" spans="2:5" ht="15">
      <c r="B6" s="30" t="s">
        <v>56</v>
      </c>
      <c r="C6" s="30">
        <v>3.6400000000000001</v>
      </c>
      <c r="D6" s="30">
        <v>976.47000000000003</v>
      </c>
      <c r="E6" s="33">
        <f>976.47*3.64</f>
        <v>3554.3508000000002</v>
      </c>
    </row>
    <row r="7" spans="2:5" ht="15">
      <c r="B7" s="30" t="s">
        <v>16</v>
      </c>
      <c r="C7" s="30">
        <v>3.2000000000000002</v>
      </c>
      <c r="D7" s="30">
        <v>976.47000000000003</v>
      </c>
      <c r="E7" s="33">
        <f>976.47*3.2</f>
        <v>3124.7040000000002</v>
      </c>
    </row>
    <row r="8" spans="2:5" ht="15">
      <c r="B8" s="30" t="s">
        <v>18</v>
      </c>
      <c r="C8" s="30">
        <v>2.5499999999999998</v>
      </c>
      <c r="D8" s="30">
        <v>976.47000000000003</v>
      </c>
      <c r="E8" s="33">
        <f>976.47*2.55</f>
        <v>2489.9984999999997</v>
      </c>
    </row>
    <row r="9" spans="2:5" ht="15">
      <c r="B9" s="30" t="s">
        <v>19</v>
      </c>
      <c r="C9" s="30">
        <v>1.8999999999999999</v>
      </c>
      <c r="D9" s="30">
        <v>976.47000000000003</v>
      </c>
      <c r="E9" s="33">
        <f>976.47*1.9</f>
        <v>1855.2929999999999</v>
      </c>
    </row>
    <row r="10" spans="2:5" ht="4.5" customHeight="1">
      <c r="B10" s="30"/>
      <c r="C10" s="30"/>
      <c r="D10" s="30"/>
      <c r="E10" s="30"/>
    </row>
    <row r="11" spans="2:5" ht="18" customHeight="1">
      <c r="B11" s="9" t="s">
        <v>27</v>
      </c>
      <c r="C11" s="9"/>
      <c r="D11" s="9"/>
      <c r="E11" s="9"/>
    </row>
    <row r="12" spans="2:5" ht="20.25" customHeight="1">
      <c r="B12" s="30" t="s">
        <v>28</v>
      </c>
      <c r="C12" s="30">
        <v>2.3300000000000001</v>
      </c>
      <c r="D12" s="30">
        <v>976.47000000000003</v>
      </c>
      <c r="E12" s="33">
        <f>976.47*2.33</f>
        <v>2275.1750999999999</v>
      </c>
    </row>
    <row r="13" spans="2:5" ht="18.75" customHeight="1">
      <c r="B13" s="30" t="s">
        <v>29</v>
      </c>
      <c r="C13" s="30">
        <v>0.22</v>
      </c>
      <c r="D13" s="30">
        <v>976.47000000000003</v>
      </c>
      <c r="E13" s="33">
        <f>976.47*0.22</f>
        <v>214.82340000000002</v>
      </c>
    </row>
    <row r="14" spans="2:5" ht="6.75" customHeight="1">
      <c r="B14" s="30"/>
      <c r="C14" s="30"/>
      <c r="D14" s="30"/>
      <c r="E14" s="30"/>
    </row>
    <row r="15" spans="2:5" ht="15">
      <c r="B15" s="9" t="s">
        <v>20</v>
      </c>
      <c r="C15" s="9"/>
      <c r="D15" s="9"/>
      <c r="E15" s="9"/>
    </row>
    <row r="16" spans="2:5" ht="15">
      <c r="B16" s="30" t="s">
        <v>21</v>
      </c>
      <c r="C16" s="30">
        <v>3.3199999999999998</v>
      </c>
      <c r="D16" s="30">
        <v>976.47000000000003</v>
      </c>
      <c r="E16" s="33">
        <f>976.47*3.32</f>
        <v>3241.8804</v>
      </c>
    </row>
    <row r="17" spans="2:5" ht="15">
      <c r="B17" s="30" t="s">
        <v>22</v>
      </c>
      <c r="C17" s="30">
        <v>2.8199999999999998</v>
      </c>
      <c r="D17" s="30">
        <v>976.47000000000003</v>
      </c>
      <c r="E17" s="33">
        <f>976.47*2.82</f>
        <v>2753.6453999999999</v>
      </c>
    </row>
    <row r="18" spans="2:5" ht="15">
      <c r="B18" s="30" t="s">
        <v>23</v>
      </c>
      <c r="C18" s="30">
        <v>2.8199999999999998</v>
      </c>
      <c r="D18" s="30">
        <v>976.47000000000003</v>
      </c>
      <c r="E18" s="33">
        <f>976.47*2.82</f>
        <v>2753.6453999999999</v>
      </c>
    </row>
    <row r="19" spans="2:5" ht="15">
      <c r="B19" s="30" t="s">
        <v>24</v>
      </c>
      <c r="C19" s="30">
        <v>2.1200000000000001</v>
      </c>
      <c r="D19" s="30">
        <v>976.47000000000003</v>
      </c>
      <c r="E19" s="33">
        <f>976.47*2.12</f>
        <v>2070.1164000000003</v>
      </c>
    </row>
    <row r="20" spans="2:5" ht="5.25" customHeight="1">
      <c r="B20" s="30"/>
      <c r="C20" s="30"/>
      <c r="D20" s="30"/>
      <c r="E20" s="30"/>
    </row>
    <row r="21" spans="2:5" ht="15">
      <c r="B21" s="9" t="s">
        <v>25</v>
      </c>
      <c r="C21" s="7"/>
      <c r="D21" s="7"/>
      <c r="E21" s="7"/>
    </row>
    <row r="22" spans="2:5" ht="15">
      <c r="B22" s="30" t="s">
        <v>26</v>
      </c>
      <c r="C22" s="30">
        <v>0.80000000000000004</v>
      </c>
      <c r="D22" s="30">
        <v>976.47000000000003</v>
      </c>
      <c r="E22" s="33">
        <f>976.47*0.08</f>
        <v>78.11760000000001</v>
      </c>
    </row>
    <row r="23" spans="2:5" ht="5.25" customHeight="1">
      <c r="B23" s="30"/>
      <c r="C23" s="30"/>
      <c r="D23" s="30"/>
      <c r="E23" s="30"/>
    </row>
    <row r="24" spans="2:5" ht="15">
      <c r="B24" s="9" t="s">
        <v>30</v>
      </c>
      <c r="C24" s="9"/>
      <c r="D24" s="9"/>
      <c r="E24" s="9"/>
    </row>
    <row r="25" spans="2:5" ht="30">
      <c r="B25" s="26" t="s">
        <v>31</v>
      </c>
      <c r="C25" s="30">
        <v>4.0499999999999998</v>
      </c>
      <c r="D25" s="30">
        <v>976.47000000000003</v>
      </c>
      <c r="E25" s="33">
        <f>976.47*4.05</f>
        <v>3954.7035000000001</v>
      </c>
    </row>
    <row r="26" spans="2:5" ht="3.75" customHeight="1">
      <c r="B26" s="30"/>
      <c r="C26" s="30"/>
      <c r="D26" s="30"/>
      <c r="E26" s="30"/>
    </row>
    <row r="27" spans="2:5" ht="15">
      <c r="B27" s="9" t="s">
        <v>32</v>
      </c>
      <c r="C27" s="9"/>
      <c r="D27" s="9"/>
      <c r="E27" s="9"/>
    </row>
    <row r="28" spans="2:5" ht="30">
      <c r="B28" s="26" t="s">
        <v>33</v>
      </c>
      <c r="C28" s="30">
        <v>4.0499999999999998</v>
      </c>
      <c r="D28" s="30">
        <v>976.47000000000003</v>
      </c>
      <c r="E28" s="33">
        <f>976.47*4.05</f>
        <v>3954.7035000000001</v>
      </c>
    </row>
    <row r="29" spans="2:5" ht="4.5" customHeight="1">
      <c r="B29" s="30"/>
      <c r="C29" s="30"/>
      <c r="D29" s="30"/>
      <c r="E29" s="30"/>
    </row>
    <row r="30" spans="2:5" ht="15">
      <c r="B30" s="9" t="s">
        <v>34</v>
      </c>
      <c r="C30" s="9"/>
      <c r="D30" s="9"/>
      <c r="E30" s="9"/>
    </row>
    <row r="31" spans="2:5" ht="15">
      <c r="B31" s="30" t="s">
        <v>35</v>
      </c>
      <c r="C31" s="30">
        <v>2.7799999999999998</v>
      </c>
      <c r="D31" s="30">
        <v>976.47000000000003</v>
      </c>
      <c r="E31" s="33">
        <f>976.47*2.78</f>
        <v>2714.5866000000001</v>
      </c>
    </row>
    <row r="32" spans="2:5" ht="15">
      <c r="B32" s="30" t="s">
        <v>36</v>
      </c>
      <c r="C32" s="30">
        <v>2.6400000000000001</v>
      </c>
      <c r="D32" s="30">
        <v>976.47000000000003</v>
      </c>
      <c r="E32" s="33">
        <f>976.47*2.64</f>
        <v>2577.8808000000004</v>
      </c>
    </row>
    <row r="33" spans="2:5" ht="15">
      <c r="B33" s="30" t="s">
        <v>37</v>
      </c>
      <c r="C33" s="30">
        <v>2.3100000000000001</v>
      </c>
      <c r="D33" s="30">
        <v>976.47000000000003</v>
      </c>
      <c r="E33" s="33">
        <f>976.47*2.31</f>
        <v>2255.6457</v>
      </c>
    </row>
    <row r="34" spans="2:5" ht="4.5" customHeight="1">
      <c r="B34" s="30"/>
      <c r="C34" s="30"/>
      <c r="D34" s="30"/>
      <c r="E34" s="30"/>
    </row>
    <row r="35" spans="2:5" ht="15">
      <c r="B35" s="9" t="s">
        <v>38</v>
      </c>
      <c r="C35" s="9"/>
      <c r="D35" s="9"/>
      <c r="E35" s="9"/>
    </row>
    <row r="36" spans="2:5" ht="15">
      <c r="B36" s="30" t="s">
        <v>38</v>
      </c>
      <c r="C36" s="30">
        <v>4.0499999999999998</v>
      </c>
      <c r="D36" s="30">
        <v>976.47000000000003</v>
      </c>
      <c r="E36" s="33">
        <f>976.47*4.05</f>
        <v>3954.7035000000001</v>
      </c>
    </row>
    <row r="37" spans="2:5" ht="4.5" customHeight="1">
      <c r="B37" s="30"/>
      <c r="C37" s="30"/>
      <c r="D37" s="30"/>
      <c r="E37" s="30"/>
    </row>
    <row r="38" spans="2:5" ht="15">
      <c r="B38" s="9" t="s">
        <v>3</v>
      </c>
      <c r="C38" s="9"/>
      <c r="D38" s="9"/>
      <c r="E38" s="9"/>
    </row>
    <row r="39" spans="2:5" ht="37.5" customHeight="1">
      <c r="B39" s="26" t="s">
        <v>43</v>
      </c>
      <c r="C39" s="31">
        <v>4.0499999999999998</v>
      </c>
      <c r="D39" s="31">
        <v>1416.99</v>
      </c>
      <c r="E39" s="34">
        <f>1416.99*4.05</f>
        <v>5738.8094999999994</v>
      </c>
    </row>
    <row r="40" spans="2:5" ht="6.75" customHeight="1">
      <c r="B40" s="19"/>
      <c r="C40" s="19"/>
      <c r="D40" s="19"/>
      <c r="E40" s="19"/>
    </row>
    <row r="41" spans="2:5" ht="15">
      <c r="B41" s="9" t="s">
        <v>39</v>
      </c>
      <c r="C41" s="9"/>
      <c r="D41" s="9"/>
      <c r="E41" s="9"/>
    </row>
    <row r="42" spans="2:5" ht="15">
      <c r="B42" s="30" t="s">
        <v>40</v>
      </c>
      <c r="C42" s="30">
        <v>4.0499999999999998</v>
      </c>
      <c r="D42" s="30">
        <v>976.47000000000003</v>
      </c>
      <c r="E42" s="33">
        <f>976.47*4.05</f>
        <v>3954.7035000000001</v>
      </c>
    </row>
    <row r="43" spans="2:5" ht="15">
      <c r="B43" s="30" t="s">
        <v>41</v>
      </c>
      <c r="C43" s="30">
        <v>3.3199999999999998</v>
      </c>
      <c r="D43" s="30">
        <v>976.47000000000003</v>
      </c>
      <c r="E43" s="33">
        <f>976.47*3.32</f>
        <v>3241.8804</v>
      </c>
    </row>
    <row r="44" spans="2:5" ht="4.5" customHeight="1">
      <c r="B44" s="30"/>
      <c r="C44" s="30"/>
      <c r="D44" s="30"/>
      <c r="E44" s="30"/>
    </row>
    <row r="45" spans="2:5" ht="15">
      <c r="B45" s="9" t="s">
        <v>44</v>
      </c>
      <c r="C45" s="9"/>
      <c r="D45" s="9"/>
      <c r="E45" s="9"/>
    </row>
    <row r="46" spans="2:5" ht="30">
      <c r="B46" s="26" t="s">
        <v>46</v>
      </c>
      <c r="C46" s="30">
        <v>4.9500000000000002</v>
      </c>
      <c r="D46" s="30">
        <v>1979.5899999999999</v>
      </c>
      <c r="E46" s="33">
        <f>1979.59*4.95</f>
        <v>9798.9704999999994</v>
      </c>
    </row>
    <row r="47" spans="2:5" ht="4.5" customHeight="1">
      <c r="B47" s="30"/>
      <c r="C47" s="30"/>
      <c r="D47" s="30"/>
      <c r="E47" s="30"/>
    </row>
    <row r="48" spans="2:5" ht="15">
      <c r="B48" s="9" t="s">
        <v>57</v>
      </c>
      <c r="C48" s="9"/>
      <c r="D48" s="9"/>
      <c r="E48" s="9"/>
    </row>
    <row r="49" spans="2:5" ht="30">
      <c r="B49" s="26" t="s">
        <v>45</v>
      </c>
      <c r="C49" s="30">
        <v>4.0499999999999998</v>
      </c>
      <c r="D49" s="30">
        <v>1979.5899999999999</v>
      </c>
      <c r="E49" s="33">
        <f>1979.59*4.05</f>
        <v>8017.3394999999991</v>
      </c>
    </row>
    <row r="51" spans="2:5" ht="15">
      <c r="B51" s="13" t="s">
        <v>49</v>
      </c>
      <c r="C51" s="13"/>
      <c r="D51" s="13"/>
      <c r="E51" s="13"/>
    </row>
    <row r="53" spans="2:5" ht="60">
      <c r="B53" s="30"/>
      <c r="C53" s="26" t="s">
        <v>15</v>
      </c>
      <c r="D53" s="26" t="s">
        <v>65</v>
      </c>
      <c r="E53" s="26" t="s">
        <v>66</v>
      </c>
    </row>
    <row r="54" spans="2:5" ht="15">
      <c r="B54" s="30" t="s">
        <v>47</v>
      </c>
      <c r="C54" s="30">
        <v>2.9100000000000001</v>
      </c>
      <c r="D54" s="30">
        <v>976.47000000000003</v>
      </c>
      <c r="E54" s="33">
        <f>976.47*2.91</f>
        <v>2841.5277000000001</v>
      </c>
    </row>
    <row r="55" spans="2:5" ht="15">
      <c r="B55" s="30" t="s">
        <v>48</v>
      </c>
      <c r="C55" s="30">
        <v>2.8500000000000001</v>
      </c>
      <c r="D55" s="30">
        <v>976.47000000000003</v>
      </c>
      <c r="E55" s="33">
        <f>976.47*2.85</f>
        <v>2782.9395</v>
      </c>
    </row>
    <row r="57" spans="2:5" ht="28.5" customHeight="1">
      <c r="B57" s="8" t="s">
        <v>51</v>
      </c>
      <c r="C57" s="8"/>
      <c r="D57" s="8"/>
      <c r="E57" s="8"/>
    </row>
    <row r="59" spans="2:5" ht="60">
      <c r="B59" s="30"/>
      <c r="C59" s="26" t="s">
        <v>15</v>
      </c>
      <c r="D59" s="26" t="s">
        <v>65</v>
      </c>
      <c r="E59" s="26" t="s">
        <v>66</v>
      </c>
    </row>
    <row r="60" spans="2:6" ht="15" hidden="1">
      <c r="B60" s="30" t="s">
        <v>50</v>
      </c>
      <c r="C60" s="30">
        <v>3.2000000000000002</v>
      </c>
      <c r="D60" s="30">
        <v>976.47000000000003</v>
      </c>
      <c r="E60" s="33">
        <f>976.47*3.2</f>
        <v>3124.7040000000002</v>
      </c>
      <c r="F60" t="s">
        <v>75</v>
      </c>
    </row>
    <row r="61" spans="2:5" ht="15">
      <c r="B61" s="30" t="s">
        <v>76</v>
      </c>
      <c r="C61" s="30">
        <v>3.2000000000000002</v>
      </c>
      <c r="D61" s="30">
        <v>926</v>
      </c>
      <c r="E61" s="33">
        <f>D61*C61</f>
        <v>2963.2000000000003</v>
      </c>
    </row>
    <row r="62" spans="2:5" ht="15">
      <c r="B62" s="30" t="s">
        <v>52</v>
      </c>
      <c r="C62" s="30">
        <v>4.9299999999999997</v>
      </c>
      <c r="D62" s="30">
        <v>976.47000000000003</v>
      </c>
      <c r="E62" s="33">
        <f>976.47*4.93</f>
        <v>4813.9970999999996</v>
      </c>
    </row>
    <row r="63" spans="2:5" ht="15">
      <c r="B63" s="30" t="s">
        <v>53</v>
      </c>
      <c r="C63" s="30">
        <v>4.6799999999999997</v>
      </c>
      <c r="D63" s="30">
        <v>976.47000000000003</v>
      </c>
      <c r="E63" s="33">
        <f>976.47*4.68</f>
        <v>4569.8796000000002</v>
      </c>
    </row>
    <row r="64" spans="2:5" ht="15">
      <c r="B64" s="30" t="s">
        <v>54</v>
      </c>
      <c r="C64" s="30">
        <v>4.6799999999999997</v>
      </c>
      <c r="D64" s="30">
        <v>976.47000000000003</v>
      </c>
      <c r="E64" s="33">
        <f>976.47*4.68</f>
        <v>4569.8796000000002</v>
      </c>
    </row>
    <row r="65" spans="2:5" ht="15">
      <c r="B65" s="30" t="s">
        <v>55</v>
      </c>
      <c r="C65" s="30">
        <v>3.6299999999999999</v>
      </c>
      <c r="D65" s="30">
        <v>976.47000000000003</v>
      </c>
      <c r="E65" s="33">
        <f>976.47*3.63</f>
        <v>3544.5861</v>
      </c>
    </row>
    <row r="66" spans="2:2" ht="15">
      <c r="B66" t="s">
        <v>77</v>
      </c>
    </row>
    <row r="68" spans="2:5" ht="15">
      <c r="B68" s="13" t="s">
        <v>70</v>
      </c>
      <c r="C68" s="13"/>
      <c r="D68" s="13"/>
      <c r="E68" s="13"/>
    </row>
    <row r="69" spans="2:5" ht="15">
      <c r="B69" s="22"/>
      <c r="C69" s="22"/>
      <c r="D69" s="22"/>
      <c r="E69" s="22"/>
    </row>
    <row r="70" spans="2:5" ht="60">
      <c r="B70" s="30"/>
      <c r="C70" s="26" t="s">
        <v>72</v>
      </c>
      <c r="D70" s="26" t="s">
        <v>65</v>
      </c>
      <c r="E70" s="26" t="s">
        <v>66</v>
      </c>
    </row>
    <row r="71" spans="2:5" ht="15">
      <c r="B71" s="35" t="s">
        <v>71</v>
      </c>
      <c r="C71" s="30">
        <v>0.90000000000000002</v>
      </c>
      <c r="D71" s="30">
        <v>968.02999999999997</v>
      </c>
      <c r="E71" s="33">
        <f>D71*0.9</f>
        <v>871.22699999999998</v>
      </c>
    </row>
    <row r="72" spans="2:5" ht="15">
      <c r="B72" s="35" t="s">
        <v>73</v>
      </c>
      <c r="C72" s="30">
        <v>2.3999999999999999</v>
      </c>
      <c r="D72" s="30">
        <v>968.02999999999997</v>
      </c>
      <c r="E72" s="33">
        <f>D72*2.4</f>
        <v>2323.2719999999999</v>
      </c>
    </row>
    <row r="73" spans="2:5" ht="15">
      <c r="B73" s="35" t="s">
        <v>74</v>
      </c>
      <c r="C73" s="30">
        <v>3</v>
      </c>
      <c r="D73" s="30">
        <v>968.02999999999997</v>
      </c>
      <c r="E73" s="33">
        <f>D73*3</f>
        <v>2904.0900000000001</v>
      </c>
    </row>
  </sheetData>
  <mergeCells count="16">
    <mergeCell ref="B27:E27"/>
    <mergeCell ref="B30:E30"/>
    <mergeCell ref="B35:E35"/>
    <mergeCell ref="B41:E41"/>
    <mergeCell ref="B1:E1"/>
    <mergeCell ref="B38:E38"/>
    <mergeCell ref="B4:E4"/>
    <mergeCell ref="B15:E15"/>
    <mergeCell ref="B21:E21"/>
    <mergeCell ref="B11:E11"/>
    <mergeCell ref="B24:E24"/>
    <mergeCell ref="B68:E68"/>
    <mergeCell ref="B45:E45"/>
    <mergeCell ref="B48:E48"/>
    <mergeCell ref="B51:E51"/>
    <mergeCell ref="B57:E57"/>
  </mergeCells>
  <pageMargins left="0.7" right="0.7" top="0.75" bottom="0.75" header="0.3" footer="0.3"/>
  <pageSetup orientation="portrait" paperSize="9" scale="67"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C2:N21"/>
  <sheetViews>
    <sheetView workbookViewId="0" topLeftCell="A1">
      <selection pane="topLeft" activeCell="I4" sqref="I4:N21"/>
    </sheetView>
  </sheetViews>
  <sheetFormatPr defaultColWidth="8.714285714285714" defaultRowHeight="15"/>
  <cols>
    <col min="11" max="11" width="12.428571428571429" customWidth="1"/>
    <col min="12" max="12" width="11.285714285714286" customWidth="1"/>
    <col min="13" max="13" width="13.428571428571429" customWidth="1"/>
    <col min="14" max="14" width="12.714285714285714" customWidth="1"/>
  </cols>
  <sheetData>
    <row r="2" spans="7:7" ht="15">
      <c r="G2">
        <v>1025.29</v>
      </c>
    </row>
    <row r="3" ht="15.75" thickBot="1"/>
    <row r="4" spans="3:14" ht="42.75" customHeight="1" thickBot="1">
      <c r="C4" s="17" t="s">
        <v>78</v>
      </c>
      <c r="D4" s="6" t="s">
        <v>80</v>
      </c>
      <c r="E4" s="4" t="s">
        <v>81</v>
      </c>
      <c r="F4" s="3"/>
      <c r="G4" s="2"/>
      <c r="J4" s="15" t="s">
        <v>78</v>
      </c>
      <c r="K4" s="1" t="s">
        <v>80</v>
      </c>
      <c r="L4" s="82" t="s">
        <v>81</v>
      </c>
      <c r="M4" s="83"/>
      <c r="N4" s="84"/>
    </row>
    <row r="5" spans="3:14" ht="30.75" thickBot="1">
      <c r="C5" s="16" t="s">
        <v>79</v>
      </c>
      <c r="D5" s="5"/>
      <c r="E5" s="36" t="s">
        <v>82</v>
      </c>
      <c r="F5" s="36" t="s">
        <v>83</v>
      </c>
      <c r="G5" s="36" t="s">
        <v>84</v>
      </c>
      <c r="J5" s="37" t="s">
        <v>79</v>
      </c>
      <c r="K5" s="81"/>
      <c r="L5" s="15" t="s">
        <v>82</v>
      </c>
      <c r="M5" s="15" t="s">
        <v>83</v>
      </c>
      <c r="N5" s="15" t="s">
        <v>84</v>
      </c>
    </row>
    <row r="6" spans="3:14" ht="16.5" thickBot="1">
      <c r="C6" s="36" t="s">
        <v>85</v>
      </c>
      <c r="D6" s="36">
        <v>16</v>
      </c>
      <c r="E6" s="36">
        <v>3.0350000000000001</v>
      </c>
      <c r="F6" s="36">
        <v>4.3360000000000003</v>
      </c>
      <c r="G6" s="36">
        <v>4.5499999999999998</v>
      </c>
      <c r="J6" s="38" t="s">
        <v>85</v>
      </c>
      <c r="K6" s="39">
        <v>16</v>
      </c>
      <c r="L6" s="40">
        <f>E6*G2</f>
        <v>3111.75515</v>
      </c>
      <c r="M6" s="40">
        <f>F6*G2</f>
        <v>4445.65744</v>
      </c>
      <c r="N6" s="40">
        <f>G6*G2</f>
        <v>4665.0694999999996</v>
      </c>
    </row>
    <row r="7" spans="3:14" ht="16.5" thickBot="1">
      <c r="C7" s="36" t="s">
        <v>86</v>
      </c>
      <c r="D7" s="36">
        <v>15</v>
      </c>
      <c r="E7" s="36">
        <v>2.8359999999999999</v>
      </c>
      <c r="F7" s="36">
        <v>4.0499999999999998</v>
      </c>
      <c r="G7" s="36">
        <v>4.3540000000000001</v>
      </c>
      <c r="J7" s="38" t="s">
        <v>86</v>
      </c>
      <c r="K7" s="39">
        <v>15</v>
      </c>
      <c r="L7" s="40">
        <f>E7*G2</f>
        <v>2907.7224399999996</v>
      </c>
      <c r="M7" s="40">
        <f>F7*G2</f>
        <v>4152.4245000000001</v>
      </c>
      <c r="N7" s="40">
        <f>G7*G2</f>
        <v>4464.1126599999998</v>
      </c>
    </row>
    <row r="8" spans="3:14" ht="16.5" thickBot="1">
      <c r="C8" s="36" t="s">
        <v>87</v>
      </c>
      <c r="D8" s="36">
        <v>14</v>
      </c>
      <c r="E8" s="36">
        <v>2.3690000000000002</v>
      </c>
      <c r="F8" s="36">
        <v>3.3849999999999998</v>
      </c>
      <c r="G8" s="36">
        <v>4.0620000000000003</v>
      </c>
      <c r="J8" s="38" t="s">
        <v>87</v>
      </c>
      <c r="K8" s="39">
        <v>14</v>
      </c>
      <c r="L8" s="40">
        <f>E8*G2</f>
        <v>2428.91201</v>
      </c>
      <c r="M8" s="40">
        <f>F8*G2</f>
        <v>3470.6066499999997</v>
      </c>
      <c r="N8" s="40">
        <f>G8*G2</f>
        <v>4164.7279800000006</v>
      </c>
    </row>
    <row r="9" spans="3:14" ht="16.5" thickBot="1">
      <c r="C9" s="36" t="s">
        <v>88</v>
      </c>
      <c r="D9" s="36">
        <v>13</v>
      </c>
      <c r="E9" s="36">
        <v>1.911</v>
      </c>
      <c r="F9" s="36">
        <v>2.73</v>
      </c>
      <c r="G9" s="36">
        <v>3.2759999999999998</v>
      </c>
      <c r="J9" s="38" t="s">
        <v>88</v>
      </c>
      <c r="K9" s="39">
        <v>13</v>
      </c>
      <c r="L9" s="40">
        <f>E9*G2</f>
        <v>1959.3291899999999</v>
      </c>
      <c r="M9" s="40">
        <f>F9*G2</f>
        <v>2799.0416999999998</v>
      </c>
      <c r="N9" s="40">
        <f>G9*G2</f>
        <v>3358.8500399999998</v>
      </c>
    </row>
    <row r="10" spans="3:14" ht="16.5" thickBot="1">
      <c r="C10" s="36" t="s">
        <v>89</v>
      </c>
      <c r="D10" s="36">
        <v>12</v>
      </c>
      <c r="E10" s="36">
        <v>1.5349999999999999</v>
      </c>
      <c r="F10" s="36">
        <v>2.194</v>
      </c>
      <c r="G10" s="36">
        <v>2.7429999999999999</v>
      </c>
      <c r="J10" s="38" t="s">
        <v>89</v>
      </c>
      <c r="K10" s="39">
        <v>12</v>
      </c>
      <c r="L10" s="40">
        <f>E10*G2</f>
        <v>1573.8201499999998</v>
      </c>
      <c r="M10" s="40">
        <f>F10*G2</f>
        <v>2249.4862599999997</v>
      </c>
      <c r="N10" s="40">
        <f>G10*G2</f>
        <v>2812.3704699999998</v>
      </c>
    </row>
    <row r="11" spans="3:14" ht="16.5" thickBot="1">
      <c r="C11" s="36" t="s">
        <v>90</v>
      </c>
      <c r="D11" s="36">
        <v>11</v>
      </c>
      <c r="E11" s="36">
        <v>1.23</v>
      </c>
      <c r="F11" s="36">
        <v>1.7569999999999999</v>
      </c>
      <c r="G11" s="36">
        <v>2.1970000000000001</v>
      </c>
      <c r="J11" s="38" t="s">
        <v>90</v>
      </c>
      <c r="K11" s="39">
        <v>11</v>
      </c>
      <c r="L11" s="40">
        <f>E11*G2</f>
        <v>1261.1067</v>
      </c>
      <c r="M11" s="40">
        <f>F11*G2</f>
        <v>1801.4345299999998</v>
      </c>
      <c r="N11" s="40">
        <f>G11*G2</f>
        <v>2252.5621299999998</v>
      </c>
    </row>
    <row r="12" spans="3:14" ht="16.5" thickBot="1">
      <c r="C12" s="36" t="s">
        <v>91</v>
      </c>
      <c r="D12" s="36">
        <v>10</v>
      </c>
      <c r="E12" s="36">
        <v>1.0169999999999999</v>
      </c>
      <c r="F12" s="36">
        <v>1.4530000000000001</v>
      </c>
      <c r="G12" s="36">
        <v>1.8169999999999999</v>
      </c>
      <c r="J12" s="38" t="s">
        <v>91</v>
      </c>
      <c r="K12" s="39">
        <v>10</v>
      </c>
      <c r="L12" s="40">
        <f>E12*G2</f>
        <v>1042.71993</v>
      </c>
      <c r="M12" s="40">
        <f>F12*G2</f>
        <v>1489.7463700000001</v>
      </c>
      <c r="N12" s="40">
        <f>G12*G2</f>
        <v>1862.9519299999999</v>
      </c>
    </row>
    <row r="13" spans="3:14" ht="16.5" thickBot="1">
      <c r="C13" s="36" t="s">
        <v>92</v>
      </c>
      <c r="D13" s="36">
        <v>9</v>
      </c>
      <c r="E13" s="36">
        <v>0.84999999999999998</v>
      </c>
      <c r="F13" s="36">
        <v>1.2150000000000001</v>
      </c>
      <c r="G13" s="36">
        <v>1.579</v>
      </c>
      <c r="J13" s="38" t="s">
        <v>92</v>
      </c>
      <c r="K13" s="39">
        <v>9</v>
      </c>
      <c r="L13" s="40">
        <f>E13*G2</f>
        <v>871.49649999999997</v>
      </c>
      <c r="M13" s="40">
        <f>F13*G2</f>
        <v>1245.7273500000001</v>
      </c>
      <c r="N13" s="40">
        <f>G13*G2</f>
        <v>1618.93291</v>
      </c>
    </row>
    <row r="14" spans="3:14" ht="16.5" thickBot="1">
      <c r="C14" s="36" t="s">
        <v>93</v>
      </c>
      <c r="D14" s="36">
        <v>8</v>
      </c>
      <c r="E14" s="36">
        <v>0.79600000000000004</v>
      </c>
      <c r="F14" s="36">
        <v>1.137</v>
      </c>
      <c r="G14" s="36">
        <v>1.4790000000000001</v>
      </c>
      <c r="J14" s="38" t="s">
        <v>93</v>
      </c>
      <c r="K14" s="39">
        <v>8</v>
      </c>
      <c r="L14" s="40">
        <f>E14*G2</f>
        <v>816.13084000000003</v>
      </c>
      <c r="M14" s="40">
        <f>F14*G2</f>
        <v>1165.7547299999999</v>
      </c>
      <c r="N14" s="40">
        <f>G14*G2</f>
        <v>1516.40391</v>
      </c>
    </row>
    <row r="15" spans="3:14" ht="16.5" thickBot="1">
      <c r="C15" s="36" t="s">
        <v>94</v>
      </c>
      <c r="D15" s="36">
        <v>7</v>
      </c>
      <c r="E15" s="36">
        <v>0.66600000000000004</v>
      </c>
      <c r="F15" s="36">
        <v>0.94999999999999996</v>
      </c>
      <c r="G15" s="36">
        <v>1.236</v>
      </c>
      <c r="J15" s="38" t="s">
        <v>94</v>
      </c>
      <c r="K15" s="39">
        <v>7</v>
      </c>
      <c r="L15" s="40">
        <f>E15*G2</f>
        <v>682.84314000000006</v>
      </c>
      <c r="M15" s="40">
        <f>F15*G2</f>
        <v>974.02549999999997</v>
      </c>
      <c r="N15" s="40">
        <f>G15*G2</f>
        <v>1267.2584399999998</v>
      </c>
    </row>
    <row r="16" spans="3:14" ht="16.5" thickBot="1">
      <c r="C16" s="36" t="s">
        <v>95</v>
      </c>
      <c r="D16" s="36">
        <v>6</v>
      </c>
      <c r="E16" s="36">
        <v>0.623</v>
      </c>
      <c r="F16" s="36">
        <v>0.89000000000000001</v>
      </c>
      <c r="G16" s="36">
        <v>1.1559999999999999</v>
      </c>
      <c r="J16" s="38" t="s">
        <v>95</v>
      </c>
      <c r="K16" s="39">
        <v>6</v>
      </c>
      <c r="L16" s="40">
        <f>E16*G2</f>
        <v>638.75567000000001</v>
      </c>
      <c r="M16" s="40">
        <f>F16*G2</f>
        <v>912.50810000000001</v>
      </c>
      <c r="N16" s="40">
        <f>G16*G2</f>
        <v>1185.23524</v>
      </c>
    </row>
    <row r="17" spans="3:14" ht="16.5" thickBot="1">
      <c r="C17" s="36" t="s">
        <v>96</v>
      </c>
      <c r="D17" s="36">
        <v>5</v>
      </c>
      <c r="E17" s="36">
        <v>0.58199999999999996</v>
      </c>
      <c r="F17" s="36">
        <v>0.83199999999999996</v>
      </c>
      <c r="G17" s="36">
        <v>1.0800000000000001</v>
      </c>
      <c r="J17" s="38" t="s">
        <v>96</v>
      </c>
      <c r="K17" s="39">
        <v>5</v>
      </c>
      <c r="L17" s="40">
        <f>E17*G2</f>
        <v>596.71877999999992</v>
      </c>
      <c r="M17" s="40">
        <f>F17*G2</f>
        <v>853.04127999999992</v>
      </c>
      <c r="N17" s="40">
        <f>G17*G2</f>
        <v>1107.3132000000001</v>
      </c>
    </row>
    <row r="18" spans="3:14" ht="16.5" thickBot="1">
      <c r="C18" s="36" t="s">
        <v>97</v>
      </c>
      <c r="D18" s="36">
        <v>4</v>
      </c>
      <c r="E18" s="36">
        <v>0.56999999999999995</v>
      </c>
      <c r="F18" s="36">
        <v>0.81399999999999995</v>
      </c>
      <c r="G18" s="36">
        <v>1.0589999999999999</v>
      </c>
      <c r="J18" s="38" t="s">
        <v>97</v>
      </c>
      <c r="K18" s="39">
        <v>4</v>
      </c>
      <c r="L18" s="40">
        <f>E18*G2</f>
        <v>584.41529999999989</v>
      </c>
      <c r="M18" s="40">
        <f>F18*G2</f>
        <v>834.58605999999986</v>
      </c>
      <c r="N18" s="40">
        <f>G18*G2</f>
        <v>1085.7821099999999</v>
      </c>
    </row>
    <row r="19" spans="3:14" ht="16.5" thickBot="1">
      <c r="C19" s="36" t="s">
        <v>98</v>
      </c>
      <c r="D19" s="36">
        <v>3</v>
      </c>
      <c r="E19" s="36">
        <v>0.441</v>
      </c>
      <c r="F19" s="36">
        <v>0.59199999999999997</v>
      </c>
      <c r="G19" s="36">
        <v>0.76900000000000002</v>
      </c>
      <c r="J19" s="38" t="s">
        <v>98</v>
      </c>
      <c r="K19" s="39">
        <v>3</v>
      </c>
      <c r="L19" s="40">
        <f>E19*G2</f>
        <v>452.15289000000001</v>
      </c>
      <c r="M19" s="40">
        <f>F19*G2</f>
        <v>606.97167999999999</v>
      </c>
      <c r="N19" s="40">
        <f>G19*G2</f>
        <v>788.44800999999995</v>
      </c>
    </row>
    <row r="20" spans="3:14" ht="16.5" thickBot="1">
      <c r="C20" s="36" t="s">
        <v>99</v>
      </c>
      <c r="D20" s="36">
        <v>2</v>
      </c>
      <c r="E20" s="36">
        <v>0.441</v>
      </c>
      <c r="F20" s="36">
        <v>0.58099999999999996</v>
      </c>
      <c r="G20" s="36">
        <v>0.755</v>
      </c>
      <c r="J20" s="38" t="s">
        <v>99</v>
      </c>
      <c r="K20" s="39">
        <v>2</v>
      </c>
      <c r="L20" s="40">
        <f>E20*G2</f>
        <v>452.15289000000001</v>
      </c>
      <c r="M20" s="40">
        <f>F20*G2</f>
        <v>595.69348999999988</v>
      </c>
      <c r="N20" s="40">
        <f>G20*G2</f>
        <v>774.09394999999995</v>
      </c>
    </row>
    <row r="21" spans="3:14" ht="16.5" thickBot="1">
      <c r="C21" s="36" t="s">
        <v>100</v>
      </c>
      <c r="D21" s="36">
        <v>1</v>
      </c>
      <c r="E21" s="36">
        <v>0.441</v>
      </c>
      <c r="F21" s="36">
        <v>0.56200000000000006</v>
      </c>
      <c r="G21" s="36">
        <v>0.73099999999999998</v>
      </c>
      <c r="J21" s="38" t="s">
        <v>100</v>
      </c>
      <c r="K21" s="39">
        <v>1</v>
      </c>
      <c r="L21" s="40">
        <f>E21*G2</f>
        <v>452.15289000000001</v>
      </c>
      <c r="M21" s="40">
        <f>F21*G2</f>
        <v>576.21298000000002</v>
      </c>
      <c r="N21" s="40">
        <f>G21*G2</f>
        <v>749.48698999999999</v>
      </c>
    </row>
  </sheetData>
  <mergeCells count="4">
    <mergeCell ref="D4:D5"/>
    <mergeCell ref="E4:G4"/>
    <mergeCell ref="K4:K5"/>
    <mergeCell ref="L4:N4"/>
  </mergeCells>
  <pageMargins left="0.7" right="0.7" top="0.75" bottom="0.75" header="0.3" footer="0.3"/>
  <pageSetup orientation="portrait" paperSize="9"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Y47"/>
  <sheetViews>
    <sheetView tabSelected="1" zoomScale="130" zoomScaleNormal="130" workbookViewId="0" topLeftCell="E1">
      <selection pane="topLeft" activeCell="X3" sqref="X3"/>
    </sheetView>
  </sheetViews>
  <sheetFormatPr defaultColWidth="11.424285714285714" defaultRowHeight="15"/>
  <cols>
    <col min="1" max="1" width="3.142857142857143" style="24" hidden="1" customWidth="1"/>
    <col min="2" max="2" width="16.428571428571427" style="24" customWidth="1"/>
    <col min="3" max="4" width="14.571428571428571" style="24" customWidth="1"/>
    <col min="5" max="6" width="11.428571428571429" style="24"/>
    <col min="7" max="7" width="8" style="24" customWidth="1"/>
    <col min="8" max="8" width="7.857142857142857" style="24" customWidth="1"/>
    <col min="9" max="9" width="10" style="24" customWidth="1"/>
    <col min="10" max="10" width="10.428571428571429" style="24" customWidth="1"/>
    <col min="11" max="11" width="11" style="24" hidden="1" customWidth="1"/>
    <col min="12" max="12" width="12.285714285714286" style="24" hidden="1" customWidth="1"/>
    <col min="13" max="13" width="14.428571428571429" style="24" customWidth="1"/>
    <col min="14" max="14" width="13.714285714285714" style="24" customWidth="1"/>
    <col min="15" max="15" width="12.714285714285714" style="24" customWidth="1"/>
    <col min="16" max="16" width="10.428571428571429" style="24" customWidth="1"/>
    <col min="17" max="17" width="11.714285714285714" style="24" customWidth="1"/>
    <col min="18" max="18" width="13.714285714285714" style="24" customWidth="1"/>
    <col min="19" max="19" width="11.428571428571429" style="24"/>
    <col min="20" max="20" width="12.285714285714286" style="24" customWidth="1"/>
    <col min="21" max="22" width="11.428571428571429" style="24" customWidth="1"/>
    <col min="23" max="23" width="0" style="24" hidden="1" customWidth="1"/>
    <col min="24" max="16384" width="11.428571428571429" style="24"/>
  </cols>
  <sheetData>
    <row r="1" spans="17:17" ht="15">
      <c r="Q1" s="72"/>
    </row>
    <row r="2" spans="2:23" ht="26.25">
      <c r="B2" s="85" t="s">
        <v>131</v>
      </c>
      <c r="C2" s="85"/>
      <c r="D2" s="85"/>
      <c r="E2" s="85"/>
      <c r="F2" s="85"/>
      <c r="G2" s="85"/>
      <c r="H2" s="85"/>
      <c r="I2" s="85"/>
      <c r="J2" s="85"/>
      <c r="K2" s="85"/>
      <c r="L2" s="85"/>
      <c r="M2" s="85"/>
      <c r="N2" s="85"/>
      <c r="O2" s="85"/>
      <c r="P2" s="85"/>
      <c r="Q2" s="85"/>
      <c r="R2" s="85"/>
      <c r="S2" s="85"/>
      <c r="T2" s="85"/>
      <c r="U2" s="85"/>
      <c r="V2" s="85"/>
      <c r="W2" s="85"/>
    </row>
    <row r="4" spans="2:23" ht="231">
      <c r="B4" s="75" t="s">
        <v>158</v>
      </c>
      <c r="C4" s="75" t="s">
        <v>158</v>
      </c>
      <c r="D4" s="75" t="s">
        <v>123</v>
      </c>
      <c r="E4" s="75" t="s">
        <v>124</v>
      </c>
      <c r="F4" s="75" t="s">
        <v>125</v>
      </c>
      <c r="G4" s="75" t="s">
        <v>126</v>
      </c>
      <c r="H4" s="75" t="s">
        <v>127</v>
      </c>
      <c r="I4" s="75" t="s">
        <v>80</v>
      </c>
      <c r="J4" s="75" t="s">
        <v>132</v>
      </c>
      <c r="K4" s="75" t="s">
        <v>133</v>
      </c>
      <c r="L4" s="75" t="s">
        <v>129</v>
      </c>
      <c r="M4" s="78" t="s">
        <v>175</v>
      </c>
      <c r="N4" s="78" t="s">
        <v>178</v>
      </c>
      <c r="O4" s="78" t="s">
        <v>159</v>
      </c>
      <c r="P4" s="75" t="s">
        <v>149</v>
      </c>
      <c r="Q4" s="75" t="s">
        <v>128</v>
      </c>
      <c r="R4" s="75" t="s">
        <v>176</v>
      </c>
      <c r="S4" s="79" t="s">
        <v>150</v>
      </c>
      <c r="T4" s="79" t="s">
        <v>177</v>
      </c>
      <c r="U4" s="79" t="s">
        <v>151</v>
      </c>
      <c r="V4" s="75" t="s">
        <v>152</v>
      </c>
      <c r="W4" s="75" t="s">
        <v>130</v>
      </c>
    </row>
    <row r="5" spans="2:23" ht="15">
      <c r="B5" s="21"/>
      <c r="C5" s="21"/>
      <c r="D5" s="21"/>
      <c r="E5" s="21"/>
      <c r="F5" s="21"/>
      <c r="G5" s="27"/>
      <c r="H5" s="27"/>
      <c r="I5" s="27"/>
      <c r="J5" s="21"/>
      <c r="K5" s="21"/>
      <c r="L5" s="21"/>
      <c r="M5" s="21"/>
      <c r="N5" s="21"/>
      <c r="O5" s="21"/>
      <c r="P5" s="73"/>
      <c r="Q5" s="41"/>
      <c r="R5" s="21"/>
      <c r="S5" s="21"/>
      <c r="T5" s="41"/>
      <c r="U5" s="41"/>
      <c r="V5" s="74"/>
      <c r="W5" s="21">
        <f>IF(V5&gt;25%,L5*0.25,T5-L5)+L5</f>
        <v>0</v>
      </c>
    </row>
    <row r="6" spans="2:51" ht="15">
      <c r="B6" s="21"/>
      <c r="C6" s="21"/>
      <c r="D6" s="21"/>
      <c r="E6" s="21"/>
      <c r="F6" s="21"/>
      <c r="G6" s="21"/>
      <c r="H6" s="21"/>
      <c r="I6" s="21"/>
      <c r="J6" s="21"/>
      <c r="K6" s="21"/>
      <c r="L6" s="21"/>
      <c r="M6" s="21"/>
      <c r="N6" s="21"/>
      <c r="O6" s="21"/>
      <c r="P6" s="73"/>
      <c r="Q6" s="41"/>
      <c r="R6" s="21"/>
      <c r="S6" s="21"/>
      <c r="T6" s="41"/>
      <c r="U6" s="41"/>
      <c r="V6" s="74"/>
      <c r="W6" s="21">
        <f>IF(V6&gt;25%,L6*0.25,T6-L6)+L6</f>
        <v>0</v>
      </c>
      <c r="AY6" s="24">
        <v>1</v>
      </c>
    </row>
    <row r="7" spans="2:51" ht="15">
      <c r="B7" s="21"/>
      <c r="C7" s="21"/>
      <c r="D7" s="21"/>
      <c r="E7" s="21"/>
      <c r="F7" s="21"/>
      <c r="G7" s="21"/>
      <c r="H7" s="21"/>
      <c r="I7" s="21"/>
      <c r="J7" s="21"/>
      <c r="K7" s="21"/>
      <c r="L7" s="21"/>
      <c r="M7" s="21"/>
      <c r="N7" s="21"/>
      <c r="O7" s="21"/>
      <c r="P7" s="73"/>
      <c r="Q7" s="41"/>
      <c r="R7" s="21"/>
      <c r="S7" s="21"/>
      <c r="T7" s="41"/>
      <c r="U7" s="41"/>
      <c r="V7" s="74"/>
      <c r="W7" s="21"/>
      <c r="AY7" s="24">
        <v>2</v>
      </c>
    </row>
    <row r="8" spans="2:51" ht="15">
      <c r="B8" s="21"/>
      <c r="C8" s="21"/>
      <c r="D8" s="21"/>
      <c r="E8" s="21"/>
      <c r="F8" s="21"/>
      <c r="G8" s="21"/>
      <c r="H8" s="21"/>
      <c r="I8" s="21"/>
      <c r="J8" s="21"/>
      <c r="K8" s="21"/>
      <c r="L8" s="21"/>
      <c r="M8" s="21"/>
      <c r="N8" s="21"/>
      <c r="O8" s="21"/>
      <c r="P8" s="73"/>
      <c r="Q8" s="41"/>
      <c r="R8" s="21"/>
      <c r="S8" s="21"/>
      <c r="T8" s="41"/>
      <c r="U8" s="41"/>
      <c r="V8" s="74"/>
      <c r="W8" s="21"/>
      <c r="AY8" s="24">
        <v>3</v>
      </c>
    </row>
    <row r="9" spans="2:51" ht="15">
      <c r="B9" s="21"/>
      <c r="C9" s="21"/>
      <c r="D9" s="21"/>
      <c r="E9" s="21"/>
      <c r="F9" s="21"/>
      <c r="G9" s="21"/>
      <c r="H9" s="21"/>
      <c r="I9" s="21"/>
      <c r="J9" s="21"/>
      <c r="K9" s="21"/>
      <c r="L9" s="21"/>
      <c r="M9" s="21"/>
      <c r="N9" s="21"/>
      <c r="O9" s="21"/>
      <c r="P9" s="73"/>
      <c r="Q9" s="41"/>
      <c r="R9" s="21"/>
      <c r="S9" s="21"/>
      <c r="T9" s="41"/>
      <c r="U9" s="41"/>
      <c r="V9" s="74"/>
      <c r="W9" s="21"/>
      <c r="AY9" s="24">
        <v>4</v>
      </c>
    </row>
    <row r="10" spans="2:51" ht="15">
      <c r="B10" s="21"/>
      <c r="C10" s="21"/>
      <c r="D10" s="21"/>
      <c r="E10" s="21"/>
      <c r="F10" s="21"/>
      <c r="G10" s="21"/>
      <c r="H10" s="21"/>
      <c r="I10" s="21"/>
      <c r="J10" s="21"/>
      <c r="K10" s="21"/>
      <c r="L10" s="21"/>
      <c r="M10" s="21"/>
      <c r="N10" s="21"/>
      <c r="O10" s="21"/>
      <c r="P10" s="73"/>
      <c r="Q10" s="41"/>
      <c r="R10" s="21"/>
      <c r="S10" s="21"/>
      <c r="T10" s="41"/>
      <c r="U10" s="41"/>
      <c r="V10" s="74"/>
      <c r="W10" s="21"/>
      <c r="AY10" s="24">
        <v>5</v>
      </c>
    </row>
    <row r="11" spans="2:23" ht="15">
      <c r="B11" s="21"/>
      <c r="C11" s="21"/>
      <c r="D11" s="21"/>
      <c r="E11" s="21"/>
      <c r="F11" s="21"/>
      <c r="G11" s="21"/>
      <c r="H11" s="21"/>
      <c r="I11" s="21"/>
      <c r="J11" s="21"/>
      <c r="K11" s="21"/>
      <c r="L11" s="21"/>
      <c r="M11" s="21"/>
      <c r="N11" s="21"/>
      <c r="O11" s="21"/>
      <c r="P11" s="73"/>
      <c r="Q11" s="41"/>
      <c r="R11" s="21"/>
      <c r="S11" s="21"/>
      <c r="T11" s="41"/>
      <c r="U11" s="41"/>
      <c r="V11" s="74"/>
      <c r="W11" s="21"/>
    </row>
    <row r="12" spans="2:23" ht="15">
      <c r="B12" s="21"/>
      <c r="C12" s="21"/>
      <c r="D12" s="21"/>
      <c r="E12" s="21"/>
      <c r="F12" s="21"/>
      <c r="G12" s="21"/>
      <c r="H12" s="21"/>
      <c r="I12" s="21"/>
      <c r="J12" s="21"/>
      <c r="K12" s="21"/>
      <c r="L12" s="21"/>
      <c r="M12" s="21"/>
      <c r="N12" s="21"/>
      <c r="O12" s="21"/>
      <c r="P12" s="73"/>
      <c r="Q12" s="41"/>
      <c r="R12" s="21"/>
      <c r="S12" s="21"/>
      <c r="T12" s="41"/>
      <c r="U12" s="41"/>
      <c r="V12" s="74"/>
      <c r="W12" s="21"/>
    </row>
    <row r="13" spans="2:23" ht="15">
      <c r="B13" s="21"/>
      <c r="C13" s="21"/>
      <c r="D13" s="21"/>
      <c r="E13" s="21"/>
      <c r="F13" s="21"/>
      <c r="G13" s="21"/>
      <c r="H13" s="21"/>
      <c r="I13" s="21"/>
      <c r="J13" s="21"/>
      <c r="K13" s="21"/>
      <c r="L13" s="21"/>
      <c r="M13" s="21"/>
      <c r="N13" s="21"/>
      <c r="O13" s="21"/>
      <c r="P13" s="73"/>
      <c r="Q13" s="41"/>
      <c r="R13" s="21"/>
      <c r="S13" s="21"/>
      <c r="T13" s="41"/>
      <c r="U13" s="41"/>
      <c r="V13" s="74"/>
      <c r="W13" s="21"/>
    </row>
    <row r="14" spans="2:23" ht="15">
      <c r="B14" s="21"/>
      <c r="C14" s="21"/>
      <c r="D14" s="21"/>
      <c r="E14" s="21"/>
      <c r="F14" s="21"/>
      <c r="G14" s="21"/>
      <c r="H14" s="21"/>
      <c r="I14" s="21"/>
      <c r="J14" s="21"/>
      <c r="K14" s="21"/>
      <c r="L14" s="21"/>
      <c r="M14" s="21"/>
      <c r="N14" s="21"/>
      <c r="O14" s="21"/>
      <c r="P14" s="73"/>
      <c r="Q14" s="41"/>
      <c r="R14" s="21"/>
      <c r="S14" s="21"/>
      <c r="T14" s="41"/>
      <c r="U14" s="41"/>
      <c r="V14" s="74"/>
      <c r="W14" s="21"/>
    </row>
    <row r="15" spans="2:23" ht="15" hidden="1">
      <c r="B15" s="21"/>
      <c r="C15" s="21"/>
      <c r="D15" s="21"/>
      <c r="E15" s="21"/>
      <c r="F15" s="21"/>
      <c r="G15" s="21"/>
      <c r="H15" s="21"/>
      <c r="I15" s="21"/>
      <c r="J15" s="21"/>
      <c r="K15" s="21"/>
      <c r="L15" s="21"/>
      <c r="M15" s="21">
        <v>5</v>
      </c>
      <c r="N15" s="21">
        <v>5</v>
      </c>
      <c r="O15" s="21">
        <v>3</v>
      </c>
      <c r="P15" s="73">
        <f t="shared" si="0" ref="P15:P35">=M15*0.3+N15*0.6+O15*0.1</f>
        <v>4.7999999999999998</v>
      </c>
      <c r="Q15" s="41">
        <f>VLOOKUP(P15,'Pakāpju aprēķini'!$E$2:$F$76,2,FALSE)</f>
        <v>8</v>
      </c>
      <c r="R15" s="21" t="e">
        <f>ROUND(VLOOKUP(I15,'9 pakāpes, 10 % solis'!$B$4:$K$20,Q15+1,FALSE),0)</f>
        <v>#N/A</v>
      </c>
      <c r="S15" s="21"/>
      <c r="T15" s="41" t="e">
        <f>ROUND(VLOOKUP(I15,'9 pakāpes, 10 % solis'!$B$4:$K$20,S15+1,FALSE),0)</f>
        <v>#N/A</v>
      </c>
      <c r="U15" s="41" t="e">
        <f t="shared" si="1" ref="U15:U35">=T15-L15</f>
        <v>#N/A</v>
      </c>
      <c r="V15" s="74" t="str">
        <f t="shared" si="2" ref="V15:V35">=IF(L15&gt;0,(T15-L15)/L15,"")</f>
        <v/>
      </c>
      <c r="W15" s="21"/>
    </row>
    <row r="16" spans="2:23" ht="15" hidden="1">
      <c r="B16" s="21"/>
      <c r="C16" s="21"/>
      <c r="D16" s="21"/>
      <c r="E16" s="21"/>
      <c r="F16" s="21"/>
      <c r="G16" s="21"/>
      <c r="H16" s="21"/>
      <c r="I16" s="21"/>
      <c r="J16" s="21"/>
      <c r="K16" s="21"/>
      <c r="L16" s="21"/>
      <c r="M16" s="21">
        <v>5</v>
      </c>
      <c r="N16" s="21">
        <v>5</v>
      </c>
      <c r="O16" s="21">
        <v>3</v>
      </c>
      <c r="P16" s="73">
        <f t="shared" si="0"/>
        <v>4.7999999999999998</v>
      </c>
      <c r="Q16" s="41">
        <f>VLOOKUP(P16,'Pakāpju aprēķini'!$E$2:$F$76,2,FALSE)</f>
        <v>8</v>
      </c>
      <c r="R16" s="21" t="e">
        <f>ROUND(VLOOKUP(I16,'9 pakāpes, 10 % solis'!$B$4:$K$20,Q16+1,FALSE),0)</f>
        <v>#N/A</v>
      </c>
      <c r="S16" s="21"/>
      <c r="T16" s="41" t="e">
        <f>ROUND(VLOOKUP(I16,'9 pakāpes, 10 % solis'!$B$4:$K$20,S16+1,FALSE),0)</f>
        <v>#N/A</v>
      </c>
      <c r="U16" s="41" t="e">
        <f t="shared" si="1"/>
        <v>#N/A</v>
      </c>
      <c r="V16" s="74" t="str">
        <f t="shared" si="2"/>
        <v/>
      </c>
      <c r="W16" s="21"/>
    </row>
    <row r="17" spans="2:23" ht="15" hidden="1">
      <c r="B17" s="21"/>
      <c r="C17" s="21"/>
      <c r="D17" s="21"/>
      <c r="E17" s="21"/>
      <c r="F17" s="21"/>
      <c r="G17" s="21"/>
      <c r="H17" s="21"/>
      <c r="I17" s="21"/>
      <c r="J17" s="21"/>
      <c r="K17" s="21"/>
      <c r="L17" s="21"/>
      <c r="M17" s="21">
        <v>5</v>
      </c>
      <c r="N17" s="21">
        <v>5</v>
      </c>
      <c r="O17" s="21">
        <v>3</v>
      </c>
      <c r="P17" s="73">
        <f t="shared" si="0"/>
        <v>4.7999999999999998</v>
      </c>
      <c r="Q17" s="41">
        <f>VLOOKUP(P17,'Pakāpju aprēķini'!$E$2:$F$76,2,FALSE)</f>
        <v>8</v>
      </c>
      <c r="R17" s="21" t="e">
        <f>ROUND(VLOOKUP(I17,'9 pakāpes, 10 % solis'!$B$4:$K$20,Q17+1,FALSE),0)</f>
        <v>#N/A</v>
      </c>
      <c r="S17" s="21"/>
      <c r="T17" s="41" t="e">
        <f>ROUND(VLOOKUP(I17,'9 pakāpes, 10 % solis'!$B$4:$K$20,S17+1,FALSE),0)</f>
        <v>#N/A</v>
      </c>
      <c r="U17" s="41" t="e">
        <f t="shared" si="1"/>
        <v>#N/A</v>
      </c>
      <c r="V17" s="74" t="str">
        <f t="shared" si="2"/>
        <v/>
      </c>
      <c r="W17" s="21"/>
    </row>
    <row r="18" spans="2:23" ht="15" hidden="1">
      <c r="B18" s="21"/>
      <c r="C18" s="21"/>
      <c r="D18" s="21"/>
      <c r="E18" s="21"/>
      <c r="F18" s="21"/>
      <c r="G18" s="21"/>
      <c r="H18" s="21"/>
      <c r="I18" s="21"/>
      <c r="J18" s="21"/>
      <c r="K18" s="21"/>
      <c r="L18" s="21"/>
      <c r="M18" s="21">
        <v>5</v>
      </c>
      <c r="N18" s="21">
        <v>5</v>
      </c>
      <c r="O18" s="21">
        <v>3</v>
      </c>
      <c r="P18" s="73">
        <f t="shared" si="0"/>
        <v>4.7999999999999998</v>
      </c>
      <c r="Q18" s="41">
        <f>VLOOKUP(P18,'Pakāpju aprēķini'!$E$2:$F$76,2,FALSE)</f>
        <v>8</v>
      </c>
      <c r="R18" s="21" t="e">
        <f>ROUND(VLOOKUP(I18,'9 pakāpes, 10 % solis'!$B$4:$K$20,Q18+1,FALSE),0)</f>
        <v>#N/A</v>
      </c>
      <c r="S18" s="21"/>
      <c r="T18" s="41" t="e">
        <f>ROUND(VLOOKUP(I18,'9 pakāpes, 10 % solis'!$B$4:$K$20,S18+1,FALSE),0)</f>
        <v>#N/A</v>
      </c>
      <c r="U18" s="41" t="e">
        <f t="shared" si="1"/>
        <v>#N/A</v>
      </c>
      <c r="V18" s="74" t="str">
        <f t="shared" si="2"/>
        <v/>
      </c>
      <c r="W18" s="21"/>
    </row>
    <row r="19" spans="2:23" ht="15" hidden="1">
      <c r="B19" s="21"/>
      <c r="C19" s="21"/>
      <c r="D19" s="21"/>
      <c r="E19" s="21"/>
      <c r="F19" s="21"/>
      <c r="G19" s="21"/>
      <c r="H19" s="21"/>
      <c r="I19" s="21"/>
      <c r="J19" s="21"/>
      <c r="K19" s="21"/>
      <c r="L19" s="21"/>
      <c r="M19" s="21">
        <v>5</v>
      </c>
      <c r="N19" s="21">
        <v>5</v>
      </c>
      <c r="O19" s="21">
        <v>3</v>
      </c>
      <c r="P19" s="73">
        <f t="shared" si="0"/>
        <v>4.7999999999999998</v>
      </c>
      <c r="Q19" s="41">
        <f>VLOOKUP(P19,'Pakāpju aprēķini'!$E$2:$F$76,2,FALSE)</f>
        <v>8</v>
      </c>
      <c r="R19" s="21" t="e">
        <f>ROUND(VLOOKUP(I19,'9 pakāpes, 10 % solis'!$B$4:$K$20,Q19+1,FALSE),0)</f>
        <v>#N/A</v>
      </c>
      <c r="S19" s="21"/>
      <c r="T19" s="41" t="e">
        <f>ROUND(VLOOKUP(I19,'9 pakāpes, 10 % solis'!$B$4:$K$20,S19+1,FALSE),0)</f>
        <v>#N/A</v>
      </c>
      <c r="U19" s="41" t="e">
        <f t="shared" si="1"/>
        <v>#N/A</v>
      </c>
      <c r="V19" s="74" t="str">
        <f t="shared" si="2"/>
        <v/>
      </c>
      <c r="W19" s="21"/>
    </row>
    <row r="20" spans="2:23" ht="15" hidden="1">
      <c r="B20" s="21"/>
      <c r="C20" s="21"/>
      <c r="D20" s="21"/>
      <c r="E20" s="21"/>
      <c r="F20" s="21"/>
      <c r="G20" s="21"/>
      <c r="H20" s="21"/>
      <c r="I20" s="21"/>
      <c r="J20" s="21"/>
      <c r="K20" s="21"/>
      <c r="L20" s="21"/>
      <c r="M20" s="21">
        <v>5</v>
      </c>
      <c r="N20" s="21">
        <v>5</v>
      </c>
      <c r="O20" s="21">
        <v>3</v>
      </c>
      <c r="P20" s="73">
        <f t="shared" si="0"/>
        <v>4.7999999999999998</v>
      </c>
      <c r="Q20" s="41">
        <f>VLOOKUP(P20,'Pakāpju aprēķini'!$E$2:$F$76,2,FALSE)</f>
        <v>8</v>
      </c>
      <c r="R20" s="21" t="e">
        <f>ROUND(VLOOKUP(I20,'9 pakāpes, 10 % solis'!$B$4:$K$20,Q20+1,FALSE),0)</f>
        <v>#N/A</v>
      </c>
      <c r="S20" s="21"/>
      <c r="T20" s="41" t="e">
        <f>ROUND(VLOOKUP(I20,'9 pakāpes, 10 % solis'!$B$4:$K$20,S20+1,FALSE),0)</f>
        <v>#N/A</v>
      </c>
      <c r="U20" s="41" t="e">
        <f t="shared" si="1"/>
        <v>#N/A</v>
      </c>
      <c r="V20" s="74" t="str">
        <f t="shared" si="2"/>
        <v/>
      </c>
      <c r="W20" s="21"/>
    </row>
    <row r="21" spans="2:23" ht="15" hidden="1">
      <c r="B21" s="21"/>
      <c r="C21" s="21"/>
      <c r="D21" s="21"/>
      <c r="E21" s="21"/>
      <c r="F21" s="21"/>
      <c r="G21" s="21"/>
      <c r="H21" s="21"/>
      <c r="I21" s="21"/>
      <c r="J21" s="21"/>
      <c r="K21" s="21"/>
      <c r="L21" s="21"/>
      <c r="M21" s="21">
        <v>5</v>
      </c>
      <c r="N21" s="21">
        <v>5</v>
      </c>
      <c r="O21" s="21">
        <v>3</v>
      </c>
      <c r="P21" s="73">
        <f t="shared" si="0"/>
        <v>4.7999999999999998</v>
      </c>
      <c r="Q21" s="41">
        <f>VLOOKUP(P21,'Pakāpju aprēķini'!$E$2:$F$76,2,FALSE)</f>
        <v>8</v>
      </c>
      <c r="R21" s="21" t="e">
        <f>ROUND(VLOOKUP(I21,'9 pakāpes, 10 % solis'!$B$4:$K$20,Q21+1,FALSE),0)</f>
        <v>#N/A</v>
      </c>
      <c r="S21" s="21"/>
      <c r="T21" s="41" t="e">
        <f>ROUND(VLOOKUP(I21,'9 pakāpes, 10 % solis'!$B$4:$K$20,S21+1,FALSE),0)</f>
        <v>#N/A</v>
      </c>
      <c r="U21" s="41" t="e">
        <f t="shared" si="1"/>
        <v>#N/A</v>
      </c>
      <c r="V21" s="74" t="str">
        <f t="shared" si="2"/>
        <v/>
      </c>
      <c r="W21" s="21"/>
    </row>
    <row r="22" spans="2:23" ht="15" hidden="1">
      <c r="B22" s="21"/>
      <c r="C22" s="21"/>
      <c r="D22" s="21"/>
      <c r="E22" s="21"/>
      <c r="F22" s="21"/>
      <c r="G22" s="21"/>
      <c r="H22" s="21"/>
      <c r="I22" s="21"/>
      <c r="J22" s="21"/>
      <c r="K22" s="21"/>
      <c r="L22" s="21"/>
      <c r="M22" s="21">
        <v>5</v>
      </c>
      <c r="N22" s="21">
        <v>5</v>
      </c>
      <c r="O22" s="21">
        <v>3</v>
      </c>
      <c r="P22" s="73">
        <f t="shared" si="0"/>
        <v>4.7999999999999998</v>
      </c>
      <c r="Q22" s="41">
        <f>VLOOKUP(P22,'Pakāpju aprēķini'!$E$2:$F$76,2,FALSE)</f>
        <v>8</v>
      </c>
      <c r="R22" s="21" t="e">
        <f>ROUND(VLOOKUP(I22,'9 pakāpes, 10 % solis'!$B$4:$K$20,Q22+1,FALSE),0)</f>
        <v>#N/A</v>
      </c>
      <c r="S22" s="21"/>
      <c r="T22" s="41" t="e">
        <f>ROUND(VLOOKUP(I22,'9 pakāpes, 10 % solis'!$B$4:$K$20,S22+1,FALSE),0)</f>
        <v>#N/A</v>
      </c>
      <c r="U22" s="41" t="e">
        <f t="shared" si="1"/>
        <v>#N/A</v>
      </c>
      <c r="V22" s="74" t="str">
        <f t="shared" si="2"/>
        <v/>
      </c>
      <c r="W22" s="21"/>
    </row>
    <row r="23" spans="2:23" ht="15" hidden="1">
      <c r="B23" s="21"/>
      <c r="C23" s="21"/>
      <c r="D23" s="21"/>
      <c r="E23" s="21"/>
      <c r="F23" s="21"/>
      <c r="G23" s="21"/>
      <c r="H23" s="21"/>
      <c r="I23" s="21"/>
      <c r="J23" s="21"/>
      <c r="K23" s="21"/>
      <c r="L23" s="21"/>
      <c r="M23" s="21">
        <v>5</v>
      </c>
      <c r="N23" s="21">
        <v>5</v>
      </c>
      <c r="O23" s="21">
        <v>3</v>
      </c>
      <c r="P23" s="73">
        <f t="shared" si="0"/>
        <v>4.7999999999999998</v>
      </c>
      <c r="Q23" s="41">
        <f>VLOOKUP(P23,'Pakāpju aprēķini'!$E$2:$F$76,2,FALSE)</f>
        <v>8</v>
      </c>
      <c r="R23" s="21" t="e">
        <f>ROUND(VLOOKUP(I23,'9 pakāpes, 10 % solis'!$B$4:$K$20,Q23+1,FALSE),0)</f>
        <v>#N/A</v>
      </c>
      <c r="S23" s="21"/>
      <c r="T23" s="41" t="e">
        <f>ROUND(VLOOKUP(I23,'9 pakāpes, 10 % solis'!$B$4:$K$20,S23+1,FALSE),0)</f>
        <v>#N/A</v>
      </c>
      <c r="U23" s="41" t="e">
        <f t="shared" si="1"/>
        <v>#N/A</v>
      </c>
      <c r="V23" s="74" t="str">
        <f t="shared" si="2"/>
        <v/>
      </c>
      <c r="W23" s="21"/>
    </row>
    <row r="24" spans="2:23" ht="15" hidden="1">
      <c r="B24" s="21"/>
      <c r="C24" s="21"/>
      <c r="D24" s="21"/>
      <c r="E24" s="21"/>
      <c r="F24" s="21"/>
      <c r="G24" s="21"/>
      <c r="H24" s="21"/>
      <c r="I24" s="21"/>
      <c r="J24" s="21"/>
      <c r="K24" s="21"/>
      <c r="L24" s="21"/>
      <c r="M24" s="21">
        <v>5</v>
      </c>
      <c r="N24" s="21">
        <v>5</v>
      </c>
      <c r="O24" s="21">
        <v>3</v>
      </c>
      <c r="P24" s="73">
        <f t="shared" si="0"/>
        <v>4.7999999999999998</v>
      </c>
      <c r="Q24" s="41">
        <f>VLOOKUP(P24,'Pakāpju aprēķini'!$E$2:$F$76,2,FALSE)</f>
        <v>8</v>
      </c>
      <c r="R24" s="21" t="e">
        <f>ROUND(VLOOKUP(I24,'9 pakāpes, 10 % solis'!$B$4:$K$20,Q24+1,FALSE),0)</f>
        <v>#N/A</v>
      </c>
      <c r="S24" s="21"/>
      <c r="T24" s="41" t="e">
        <f>ROUND(VLOOKUP(I24,'9 pakāpes, 10 % solis'!$B$4:$K$20,S24+1,FALSE),0)</f>
        <v>#N/A</v>
      </c>
      <c r="U24" s="41" t="e">
        <f t="shared" si="1"/>
        <v>#N/A</v>
      </c>
      <c r="V24" s="74" t="str">
        <f t="shared" si="2"/>
        <v/>
      </c>
      <c r="W24" s="21"/>
    </row>
    <row r="25" spans="2:23" ht="15" hidden="1">
      <c r="B25" s="21"/>
      <c r="C25" s="21"/>
      <c r="D25" s="21"/>
      <c r="E25" s="21"/>
      <c r="F25" s="21"/>
      <c r="G25" s="21"/>
      <c r="H25" s="21"/>
      <c r="I25" s="21"/>
      <c r="J25" s="21"/>
      <c r="K25" s="21"/>
      <c r="L25" s="21"/>
      <c r="M25" s="21">
        <v>5</v>
      </c>
      <c r="N25" s="21">
        <v>5</v>
      </c>
      <c r="O25" s="21">
        <v>3</v>
      </c>
      <c r="P25" s="73">
        <f t="shared" si="0"/>
        <v>4.7999999999999998</v>
      </c>
      <c r="Q25" s="41">
        <f>VLOOKUP(P25,'Pakāpju aprēķini'!$E$2:$F$76,2,FALSE)</f>
        <v>8</v>
      </c>
      <c r="R25" s="21" t="e">
        <f>ROUND(VLOOKUP(I25,'9 pakāpes, 10 % solis'!$B$4:$K$20,Q25+1,FALSE),0)</f>
        <v>#N/A</v>
      </c>
      <c r="S25" s="21"/>
      <c r="T25" s="41" t="e">
        <f>ROUND(VLOOKUP(I25,'9 pakāpes, 10 % solis'!$B$4:$K$20,S25+1,FALSE),0)</f>
        <v>#N/A</v>
      </c>
      <c r="U25" s="41" t="e">
        <f t="shared" si="1"/>
        <v>#N/A</v>
      </c>
      <c r="V25" s="74" t="str">
        <f t="shared" si="2"/>
        <v/>
      </c>
      <c r="W25" s="21"/>
    </row>
    <row r="26" spans="2:23" ht="15" hidden="1">
      <c r="B26" s="21"/>
      <c r="C26" s="21"/>
      <c r="D26" s="21"/>
      <c r="E26" s="21"/>
      <c r="F26" s="21"/>
      <c r="G26" s="21"/>
      <c r="H26" s="21"/>
      <c r="I26" s="21"/>
      <c r="J26" s="21"/>
      <c r="K26" s="21"/>
      <c r="L26" s="21"/>
      <c r="M26" s="21">
        <v>5</v>
      </c>
      <c r="N26" s="21">
        <v>5</v>
      </c>
      <c r="O26" s="21">
        <v>3</v>
      </c>
      <c r="P26" s="73">
        <f t="shared" si="0"/>
        <v>4.7999999999999998</v>
      </c>
      <c r="Q26" s="41">
        <f>VLOOKUP(P26,'Pakāpju aprēķini'!$E$2:$F$76,2,FALSE)</f>
        <v>8</v>
      </c>
      <c r="R26" s="21" t="e">
        <f>ROUND(VLOOKUP(I26,'9 pakāpes, 10 % solis'!$B$4:$K$20,Q26+1,FALSE),0)</f>
        <v>#N/A</v>
      </c>
      <c r="S26" s="21"/>
      <c r="T26" s="41" t="e">
        <f>ROUND(VLOOKUP(I26,'9 pakāpes, 10 % solis'!$B$4:$K$20,S26+1,FALSE),0)</f>
        <v>#N/A</v>
      </c>
      <c r="U26" s="41" t="e">
        <f t="shared" si="1"/>
        <v>#N/A</v>
      </c>
      <c r="V26" s="74" t="str">
        <f t="shared" si="2"/>
        <v/>
      </c>
      <c r="W26" s="21"/>
    </row>
    <row r="27" spans="2:23" ht="15" hidden="1">
      <c r="B27" s="21"/>
      <c r="C27" s="21"/>
      <c r="D27" s="21"/>
      <c r="E27" s="21"/>
      <c r="F27" s="21"/>
      <c r="G27" s="21"/>
      <c r="H27" s="21"/>
      <c r="I27" s="21"/>
      <c r="J27" s="21"/>
      <c r="K27" s="21"/>
      <c r="L27" s="21"/>
      <c r="M27" s="21">
        <v>5</v>
      </c>
      <c r="N27" s="21">
        <v>5</v>
      </c>
      <c r="O27" s="21">
        <v>3</v>
      </c>
      <c r="P27" s="73">
        <f t="shared" si="0"/>
        <v>4.7999999999999998</v>
      </c>
      <c r="Q27" s="41">
        <f>VLOOKUP(P27,'Pakāpju aprēķini'!$E$2:$F$76,2,FALSE)</f>
        <v>8</v>
      </c>
      <c r="R27" s="21" t="e">
        <f>ROUND(VLOOKUP(I27,'9 pakāpes, 10 % solis'!$B$4:$K$20,Q27+1,FALSE),0)</f>
        <v>#N/A</v>
      </c>
      <c r="S27" s="21"/>
      <c r="T27" s="41" t="e">
        <f>ROUND(VLOOKUP(I27,'9 pakāpes, 10 % solis'!$B$4:$K$20,S27+1,FALSE),0)</f>
        <v>#N/A</v>
      </c>
      <c r="U27" s="41" t="e">
        <f t="shared" si="1"/>
        <v>#N/A</v>
      </c>
      <c r="V27" s="74" t="str">
        <f t="shared" si="2"/>
        <v/>
      </c>
      <c r="W27" s="21"/>
    </row>
    <row r="28" spans="2:23" ht="15" hidden="1">
      <c r="B28" s="21"/>
      <c r="C28" s="21"/>
      <c r="D28" s="21"/>
      <c r="E28" s="21"/>
      <c r="F28" s="21"/>
      <c r="G28" s="21"/>
      <c r="H28" s="21"/>
      <c r="I28" s="21"/>
      <c r="J28" s="21"/>
      <c r="K28" s="21"/>
      <c r="L28" s="21"/>
      <c r="M28" s="21">
        <v>5</v>
      </c>
      <c r="N28" s="21">
        <v>5</v>
      </c>
      <c r="O28" s="21">
        <v>3</v>
      </c>
      <c r="P28" s="73">
        <f t="shared" si="0"/>
        <v>4.7999999999999998</v>
      </c>
      <c r="Q28" s="41">
        <f>VLOOKUP(P28,'Pakāpju aprēķini'!$E$2:$F$76,2,FALSE)</f>
        <v>8</v>
      </c>
      <c r="R28" s="21" t="e">
        <f>ROUND(VLOOKUP(I28,'9 pakāpes, 10 % solis'!$B$4:$K$20,Q28+1,FALSE),0)</f>
        <v>#N/A</v>
      </c>
      <c r="S28" s="21"/>
      <c r="T28" s="41" t="e">
        <f>ROUND(VLOOKUP(I28,'9 pakāpes, 10 % solis'!$B$4:$K$20,S28+1,FALSE),0)</f>
        <v>#N/A</v>
      </c>
      <c r="U28" s="41" t="e">
        <f t="shared" si="1"/>
        <v>#N/A</v>
      </c>
      <c r="V28" s="74" t="str">
        <f t="shared" si="2"/>
        <v/>
      </c>
      <c r="W28" s="21"/>
    </row>
    <row r="29" spans="2:23" ht="15" hidden="1">
      <c r="B29" s="21"/>
      <c r="C29" s="21"/>
      <c r="D29" s="21"/>
      <c r="E29" s="21"/>
      <c r="F29" s="21"/>
      <c r="G29" s="21"/>
      <c r="H29" s="21"/>
      <c r="I29" s="21"/>
      <c r="J29" s="21"/>
      <c r="K29" s="21"/>
      <c r="L29" s="21"/>
      <c r="M29" s="21">
        <v>5</v>
      </c>
      <c r="N29" s="21">
        <v>5</v>
      </c>
      <c r="O29" s="21">
        <v>3</v>
      </c>
      <c r="P29" s="73">
        <f t="shared" si="0"/>
        <v>4.7999999999999998</v>
      </c>
      <c r="Q29" s="41">
        <f>VLOOKUP(P29,'Pakāpju aprēķini'!$E$2:$F$76,2,FALSE)</f>
        <v>8</v>
      </c>
      <c r="R29" s="21" t="e">
        <f>ROUND(VLOOKUP(I29,'9 pakāpes, 10 % solis'!$B$4:$K$20,Q29+1,FALSE),0)</f>
        <v>#N/A</v>
      </c>
      <c r="S29" s="21"/>
      <c r="T29" s="41" t="e">
        <f>ROUND(VLOOKUP(I29,'9 pakāpes, 10 % solis'!$B$4:$K$20,S29+1,FALSE),0)</f>
        <v>#N/A</v>
      </c>
      <c r="U29" s="41" t="e">
        <f t="shared" si="1"/>
        <v>#N/A</v>
      </c>
      <c r="V29" s="74" t="str">
        <f t="shared" si="2"/>
        <v/>
      </c>
      <c r="W29" s="21"/>
    </row>
    <row r="30" spans="2:23" ht="15" hidden="1">
      <c r="B30" s="21"/>
      <c r="C30" s="21"/>
      <c r="D30" s="21"/>
      <c r="E30" s="21"/>
      <c r="F30" s="21"/>
      <c r="G30" s="21"/>
      <c r="H30" s="21"/>
      <c r="I30" s="21"/>
      <c r="J30" s="21"/>
      <c r="K30" s="21"/>
      <c r="L30" s="21"/>
      <c r="M30" s="21">
        <v>5</v>
      </c>
      <c r="N30" s="21">
        <v>5</v>
      </c>
      <c r="O30" s="21">
        <v>3</v>
      </c>
      <c r="P30" s="73">
        <f t="shared" si="0"/>
        <v>4.7999999999999998</v>
      </c>
      <c r="Q30" s="41">
        <f>VLOOKUP(P30,'Pakāpju aprēķini'!$E$2:$F$76,2,FALSE)</f>
        <v>8</v>
      </c>
      <c r="R30" s="21" t="e">
        <f>ROUND(VLOOKUP(I30,'9 pakāpes, 10 % solis'!$B$4:$K$20,Q30+1,FALSE),0)</f>
        <v>#N/A</v>
      </c>
      <c r="S30" s="21"/>
      <c r="T30" s="41" t="e">
        <f>ROUND(VLOOKUP(I30,'9 pakāpes, 10 % solis'!$B$4:$K$20,S30+1,FALSE),0)</f>
        <v>#N/A</v>
      </c>
      <c r="U30" s="41" t="e">
        <f t="shared" si="1"/>
        <v>#N/A</v>
      </c>
      <c r="V30" s="74" t="str">
        <f t="shared" si="2"/>
        <v/>
      </c>
      <c r="W30" s="21"/>
    </row>
    <row r="31" spans="2:23" ht="15" hidden="1">
      <c r="B31" s="21"/>
      <c r="C31" s="21"/>
      <c r="D31" s="21"/>
      <c r="E31" s="21"/>
      <c r="F31" s="21"/>
      <c r="G31" s="21"/>
      <c r="H31" s="21"/>
      <c r="I31" s="21"/>
      <c r="J31" s="21"/>
      <c r="K31" s="21"/>
      <c r="L31" s="21"/>
      <c r="M31" s="21">
        <v>5</v>
      </c>
      <c r="N31" s="21">
        <v>5</v>
      </c>
      <c r="O31" s="21">
        <v>3</v>
      </c>
      <c r="P31" s="73">
        <f t="shared" si="0"/>
        <v>4.7999999999999998</v>
      </c>
      <c r="Q31" s="41">
        <f>VLOOKUP(P31,'Pakāpju aprēķini'!$E$2:$F$76,2,FALSE)</f>
        <v>8</v>
      </c>
      <c r="R31" s="21" t="e">
        <f>ROUND(VLOOKUP(I31,'9 pakāpes, 10 % solis'!$B$4:$K$20,Q31+1,FALSE),0)</f>
        <v>#N/A</v>
      </c>
      <c r="S31" s="21"/>
      <c r="T31" s="41" t="e">
        <f>ROUND(VLOOKUP(I31,'9 pakāpes, 10 % solis'!$B$4:$K$20,S31+1,FALSE),0)</f>
        <v>#N/A</v>
      </c>
      <c r="U31" s="41" t="e">
        <f t="shared" si="1"/>
        <v>#N/A</v>
      </c>
      <c r="V31" s="74" t="str">
        <f t="shared" si="2"/>
        <v/>
      </c>
      <c r="W31" s="21"/>
    </row>
    <row r="32" spans="2:23" ht="15" hidden="1">
      <c r="B32" s="21"/>
      <c r="C32" s="21"/>
      <c r="D32" s="21"/>
      <c r="E32" s="21"/>
      <c r="F32" s="21"/>
      <c r="G32" s="21"/>
      <c r="H32" s="21"/>
      <c r="I32" s="21"/>
      <c r="J32" s="21"/>
      <c r="K32" s="21"/>
      <c r="L32" s="21"/>
      <c r="M32" s="21">
        <v>5</v>
      </c>
      <c r="N32" s="21">
        <v>5</v>
      </c>
      <c r="O32" s="21">
        <v>3</v>
      </c>
      <c r="P32" s="73">
        <f t="shared" si="0"/>
        <v>4.7999999999999998</v>
      </c>
      <c r="Q32" s="41">
        <f>VLOOKUP(P32,'Pakāpju aprēķini'!$E$2:$F$76,2,FALSE)</f>
        <v>8</v>
      </c>
      <c r="R32" s="21" t="e">
        <f>ROUND(VLOOKUP(I32,'9 pakāpes, 10 % solis'!$B$4:$K$20,Q32+1,FALSE),0)</f>
        <v>#N/A</v>
      </c>
      <c r="S32" s="21"/>
      <c r="T32" s="41" t="e">
        <f>ROUND(VLOOKUP(I32,'9 pakāpes, 10 % solis'!$B$4:$K$20,S32+1,FALSE),0)</f>
        <v>#N/A</v>
      </c>
      <c r="U32" s="41" t="e">
        <f t="shared" si="1"/>
        <v>#N/A</v>
      </c>
      <c r="V32" s="74" t="str">
        <f t="shared" si="2"/>
        <v/>
      </c>
      <c r="W32" s="21"/>
    </row>
    <row r="33" spans="2:23" ht="15" hidden="1">
      <c r="B33" s="21"/>
      <c r="C33" s="21"/>
      <c r="D33" s="21"/>
      <c r="E33" s="21"/>
      <c r="F33" s="21"/>
      <c r="G33" s="21"/>
      <c r="H33" s="21"/>
      <c r="I33" s="21"/>
      <c r="J33" s="21"/>
      <c r="K33" s="21"/>
      <c r="L33" s="21"/>
      <c r="M33" s="21">
        <v>5</v>
      </c>
      <c r="N33" s="21">
        <v>5</v>
      </c>
      <c r="O33" s="21">
        <v>3</v>
      </c>
      <c r="P33" s="73">
        <f t="shared" si="0"/>
        <v>4.7999999999999998</v>
      </c>
      <c r="Q33" s="41">
        <f>VLOOKUP(P33,'Pakāpju aprēķini'!$E$2:$F$76,2,FALSE)</f>
        <v>8</v>
      </c>
      <c r="R33" s="21" t="e">
        <f>ROUND(VLOOKUP(I33,'9 pakāpes, 10 % solis'!$B$4:$K$20,Q33+1,FALSE),0)</f>
        <v>#N/A</v>
      </c>
      <c r="S33" s="21"/>
      <c r="T33" s="41" t="e">
        <f>ROUND(VLOOKUP(I33,'9 pakāpes, 10 % solis'!$B$4:$K$20,S33+1,FALSE),0)</f>
        <v>#N/A</v>
      </c>
      <c r="U33" s="41" t="e">
        <f t="shared" si="1"/>
        <v>#N/A</v>
      </c>
      <c r="V33" s="74" t="str">
        <f t="shared" si="2"/>
        <v/>
      </c>
      <c r="W33" s="21"/>
    </row>
    <row r="34" spans="2:23" ht="15" hidden="1">
      <c r="B34" s="21"/>
      <c r="C34" s="21"/>
      <c r="D34" s="21"/>
      <c r="E34" s="21"/>
      <c r="F34" s="21"/>
      <c r="G34" s="21"/>
      <c r="H34" s="21"/>
      <c r="I34" s="21"/>
      <c r="J34" s="21"/>
      <c r="K34" s="21"/>
      <c r="L34" s="21"/>
      <c r="M34" s="21">
        <v>5</v>
      </c>
      <c r="N34" s="21">
        <v>5</v>
      </c>
      <c r="O34" s="21">
        <v>3</v>
      </c>
      <c r="P34" s="73">
        <f t="shared" si="0"/>
        <v>4.7999999999999998</v>
      </c>
      <c r="Q34" s="41">
        <f>VLOOKUP(P34,'Pakāpju aprēķini'!$E$2:$F$76,2,FALSE)</f>
        <v>8</v>
      </c>
      <c r="R34" s="21" t="e">
        <f>ROUND(VLOOKUP(I34,'9 pakāpes, 10 % solis'!$B$4:$K$20,Q34+1,FALSE),0)</f>
        <v>#N/A</v>
      </c>
      <c r="S34" s="21"/>
      <c r="T34" s="41" t="e">
        <f>ROUND(VLOOKUP(I34,'9 pakāpes, 10 % solis'!$B$4:$K$20,S34+1,FALSE),0)</f>
        <v>#N/A</v>
      </c>
      <c r="U34" s="41" t="e">
        <f t="shared" si="1"/>
        <v>#N/A</v>
      </c>
      <c r="V34" s="74" t="str">
        <f t="shared" si="2"/>
        <v/>
      </c>
      <c r="W34" s="21"/>
    </row>
    <row r="35" spans="2:23" ht="15" hidden="1">
      <c r="B35" s="21"/>
      <c r="C35" s="21"/>
      <c r="D35" s="21"/>
      <c r="E35" s="21"/>
      <c r="F35" s="21"/>
      <c r="G35" s="21"/>
      <c r="H35" s="21"/>
      <c r="I35" s="21"/>
      <c r="J35" s="21"/>
      <c r="K35" s="21"/>
      <c r="L35" s="21"/>
      <c r="M35" s="21">
        <v>5</v>
      </c>
      <c r="N35" s="21">
        <v>5</v>
      </c>
      <c r="O35" s="21">
        <v>3</v>
      </c>
      <c r="P35" s="73">
        <f t="shared" si="0"/>
        <v>4.7999999999999998</v>
      </c>
      <c r="Q35" s="41">
        <f>VLOOKUP(P35,'Pakāpju aprēķini'!$E$2:$F$76,2,FALSE)</f>
        <v>8</v>
      </c>
      <c r="R35" s="21" t="e">
        <f>ROUND(VLOOKUP(I35,'9 pakāpes, 10 % solis'!$B$4:$K$20,Q35+1,FALSE),0)</f>
        <v>#N/A</v>
      </c>
      <c r="S35" s="21"/>
      <c r="T35" s="41" t="e">
        <f>ROUND(VLOOKUP(I35,'9 pakāpes, 10 % solis'!$B$4:$K$20,S35+1,FALSE),0)</f>
        <v>#N/A</v>
      </c>
      <c r="U35" s="41" t="e">
        <f t="shared" si="1"/>
        <v>#N/A</v>
      </c>
      <c r="V35" s="74" t="str">
        <f t="shared" si="2"/>
        <v/>
      </c>
      <c r="W35" s="21"/>
    </row>
    <row r="39" spans="2:3" ht="15">
      <c r="B39" s="13" t="s">
        <v>160</v>
      </c>
      <c r="C39" s="13"/>
    </row>
    <row r="41" spans="2:3" ht="60">
      <c r="B41" s="80" t="s">
        <v>161</v>
      </c>
      <c r="C41" s="80" t="s">
        <v>165</v>
      </c>
    </row>
    <row r="42" spans="2:3" ht="15">
      <c r="B42" s="21" t="s">
        <v>162</v>
      </c>
      <c r="C42" s="21" t="s">
        <v>170</v>
      </c>
    </row>
    <row r="43" spans="2:3" ht="15">
      <c r="B43" s="21" t="s">
        <v>163</v>
      </c>
      <c r="C43" s="21" t="s">
        <v>164</v>
      </c>
    </row>
    <row r="44" spans="2:3" ht="15">
      <c r="B44" s="21" t="s">
        <v>166</v>
      </c>
      <c r="C44" s="21" t="s">
        <v>167</v>
      </c>
    </row>
    <row r="45" spans="2:3" ht="15">
      <c r="B45" s="21" t="s">
        <v>168</v>
      </c>
      <c r="C45" s="21" t="s">
        <v>169</v>
      </c>
    </row>
    <row r="46" spans="2:3" ht="15">
      <c r="B46" s="21" t="s">
        <v>171</v>
      </c>
      <c r="C46" s="21" t="s">
        <v>172</v>
      </c>
    </row>
    <row r="47" spans="2:3" ht="15">
      <c r="B47" s="21" t="s">
        <v>173</v>
      </c>
      <c r="C47" s="21" t="s">
        <v>174</v>
      </c>
    </row>
  </sheetData>
  <mergeCells count="2">
    <mergeCell ref="B2:W2"/>
    <mergeCell ref="B39:C39"/>
  </mergeCells>
  <dataValidations count="2">
    <dataValidation type="list" allowBlank="1" showInputMessage="1" showErrorMessage="1" sqref="O5:O35">
      <formula1>$AY$6:$AY$8</formula1>
    </dataValidation>
    <dataValidation type="list" allowBlank="1" showInputMessage="1" showErrorMessage="1" sqref="M5:N35">
      <formula1>$AY$6:$AY$10</formula1>
    </dataValidation>
  </dataValidations>
  <pageMargins left="0.7" right="0.7" top="0.75" bottom="0.75" header="0.3" footer="0.3"/>
  <pageSetup fitToHeight="0" orientation="landscape" paperSize="9" scale="23"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dimension ref="B1:I76"/>
  <sheetViews>
    <sheetView zoomScale="120" zoomScaleNormal="120" workbookViewId="0" topLeftCell="A1">
      <selection pane="topLeft" activeCell="B24" sqref="B24:D29"/>
    </sheetView>
  </sheetViews>
  <sheetFormatPr defaultColWidth="11.424285714285714" defaultRowHeight="15"/>
  <cols>
    <col min="1" max="1" width="6.714285714285714" customWidth="1"/>
    <col min="5" max="5" width="12.714285714285714" customWidth="1"/>
  </cols>
  <sheetData>
    <row r="1" spans="2:6" ht="46.9" customHeight="1">
      <c r="B1" s="77" t="s">
        <v>157</v>
      </c>
      <c r="C1" s="77" t="s">
        <v>153</v>
      </c>
      <c r="D1" s="77" t="s">
        <v>154</v>
      </c>
      <c r="E1" s="77" t="s">
        <v>155</v>
      </c>
      <c r="F1" s="77" t="s">
        <v>156</v>
      </c>
    </row>
    <row r="2" spans="2:9" ht="15">
      <c r="B2" s="30">
        <v>1</v>
      </c>
      <c r="C2" s="30">
        <v>1</v>
      </c>
      <c r="D2" s="30">
        <v>1</v>
      </c>
      <c r="E2" s="76">
        <f t="shared" si="0" ref="E2:E33">=B2*0.3+C2*0.6+D2*0.1</f>
        <v>0.99999999999999989</v>
      </c>
      <c r="F2" s="30">
        <v>1</v>
      </c>
      <c r="G2">
        <v>6</v>
      </c>
      <c r="H2" t="s">
        <v>134</v>
      </c>
      <c r="I2" t="s">
        <v>135</v>
      </c>
    </row>
    <row r="3" spans="2:6" ht="15">
      <c r="B3" s="30">
        <v>1</v>
      </c>
      <c r="C3" s="30">
        <v>1</v>
      </c>
      <c r="D3" s="30">
        <v>2</v>
      </c>
      <c r="E3" s="76">
        <f t="shared" si="0"/>
        <v>1.0999999999999999</v>
      </c>
      <c r="F3" s="30">
        <v>1</v>
      </c>
    </row>
    <row r="4" spans="2:6" ht="15">
      <c r="B4" s="30">
        <v>1</v>
      </c>
      <c r="C4" s="30">
        <v>1</v>
      </c>
      <c r="D4" s="30">
        <v>3</v>
      </c>
      <c r="E4" s="76">
        <f t="shared" si="0"/>
        <v>1.2</v>
      </c>
      <c r="F4" s="30">
        <v>1</v>
      </c>
    </row>
    <row r="5" spans="2:6" ht="15">
      <c r="B5" s="30">
        <v>2</v>
      </c>
      <c r="C5" s="30">
        <v>1</v>
      </c>
      <c r="D5" s="30">
        <v>1</v>
      </c>
      <c r="E5" s="76">
        <f t="shared" si="0"/>
        <v>1.3</v>
      </c>
      <c r="F5" s="30">
        <v>1</v>
      </c>
    </row>
    <row r="6" spans="2:6" ht="15">
      <c r="B6" s="30">
        <v>2</v>
      </c>
      <c r="C6" s="30">
        <v>1</v>
      </c>
      <c r="D6" s="30">
        <v>2</v>
      </c>
      <c r="E6" s="76">
        <f t="shared" si="0"/>
        <v>1.3999999999999999</v>
      </c>
      <c r="F6" s="30">
        <v>1</v>
      </c>
    </row>
    <row r="7" spans="2:6" ht="15">
      <c r="B7" s="30">
        <v>2</v>
      </c>
      <c r="C7" s="30">
        <v>1</v>
      </c>
      <c r="D7" s="30">
        <v>3</v>
      </c>
      <c r="E7" s="76">
        <f t="shared" si="0"/>
        <v>1.5</v>
      </c>
      <c r="F7" s="30">
        <v>1</v>
      </c>
    </row>
    <row r="8" spans="2:9" ht="15">
      <c r="B8" s="30">
        <v>1</v>
      </c>
      <c r="C8" s="30">
        <v>2</v>
      </c>
      <c r="D8" s="30">
        <v>1</v>
      </c>
      <c r="E8" s="76">
        <f t="shared" si="0"/>
        <v>1.6000000000000001</v>
      </c>
      <c r="F8" s="30">
        <v>2</v>
      </c>
      <c r="G8">
        <v>6</v>
      </c>
      <c r="H8" t="s">
        <v>136</v>
      </c>
      <c r="I8" t="s">
        <v>137</v>
      </c>
    </row>
    <row r="9" spans="2:6" ht="15">
      <c r="B9" s="30">
        <v>3</v>
      </c>
      <c r="C9" s="30">
        <v>1</v>
      </c>
      <c r="D9" s="30">
        <v>1</v>
      </c>
      <c r="E9" s="76">
        <f t="shared" si="0"/>
        <v>1.6000000000000001</v>
      </c>
      <c r="F9" s="30">
        <v>2</v>
      </c>
    </row>
    <row r="10" spans="2:6" ht="15">
      <c r="B10" s="30">
        <v>1</v>
      </c>
      <c r="C10" s="30">
        <v>2</v>
      </c>
      <c r="D10" s="30">
        <v>2</v>
      </c>
      <c r="E10" s="76">
        <f t="shared" si="0"/>
        <v>1.7</v>
      </c>
      <c r="F10" s="30">
        <v>2</v>
      </c>
    </row>
    <row r="11" spans="2:6" ht="15">
      <c r="B11" s="30">
        <v>3</v>
      </c>
      <c r="C11" s="30">
        <v>1</v>
      </c>
      <c r="D11" s="30">
        <v>2</v>
      </c>
      <c r="E11" s="76">
        <f t="shared" si="0"/>
        <v>1.7</v>
      </c>
      <c r="F11" s="30">
        <v>2</v>
      </c>
    </row>
    <row r="12" spans="2:6" ht="15">
      <c r="B12" s="30">
        <v>1</v>
      </c>
      <c r="C12" s="30">
        <v>2</v>
      </c>
      <c r="D12" s="30">
        <v>3</v>
      </c>
      <c r="E12" s="76">
        <f t="shared" si="0"/>
        <v>1.8</v>
      </c>
      <c r="F12" s="30">
        <v>2</v>
      </c>
    </row>
    <row r="13" spans="2:6" ht="15">
      <c r="B13" s="30">
        <v>3</v>
      </c>
      <c r="C13" s="30">
        <v>1</v>
      </c>
      <c r="D13" s="30">
        <v>3</v>
      </c>
      <c r="E13" s="76">
        <f t="shared" si="0"/>
        <v>1.8</v>
      </c>
      <c r="F13" s="30">
        <v>2</v>
      </c>
    </row>
    <row r="14" spans="2:9" ht="15">
      <c r="B14" s="30">
        <v>2</v>
      </c>
      <c r="C14" s="30">
        <v>2</v>
      </c>
      <c r="D14" s="30">
        <v>1</v>
      </c>
      <c r="E14" s="76">
        <f t="shared" si="0"/>
        <v>1.8999999999999999</v>
      </c>
      <c r="F14" s="30">
        <v>3</v>
      </c>
      <c r="G14">
        <v>9</v>
      </c>
      <c r="H14" t="s">
        <v>138</v>
      </c>
      <c r="I14" t="s">
        <v>139</v>
      </c>
    </row>
    <row r="15" spans="2:6" ht="15">
      <c r="B15" s="30">
        <v>4</v>
      </c>
      <c r="C15" s="30">
        <v>1</v>
      </c>
      <c r="D15" s="30">
        <v>1</v>
      </c>
      <c r="E15" s="76">
        <f t="shared" si="0"/>
        <v>1.8999999999999999</v>
      </c>
      <c r="F15" s="30">
        <v>3</v>
      </c>
    </row>
    <row r="16" spans="2:6" ht="15">
      <c r="B16" s="30">
        <v>2</v>
      </c>
      <c r="C16" s="30">
        <v>2</v>
      </c>
      <c r="D16" s="30">
        <v>2</v>
      </c>
      <c r="E16" s="76">
        <f t="shared" si="0"/>
        <v>1.9999999999999998</v>
      </c>
      <c r="F16" s="30">
        <v>3</v>
      </c>
    </row>
    <row r="17" spans="2:6" ht="15">
      <c r="B17" s="30">
        <v>4</v>
      </c>
      <c r="C17" s="30">
        <v>1</v>
      </c>
      <c r="D17" s="30">
        <v>2</v>
      </c>
      <c r="E17" s="76">
        <f t="shared" si="0"/>
        <v>1.9999999999999998</v>
      </c>
      <c r="F17" s="30">
        <v>3</v>
      </c>
    </row>
    <row r="18" spans="2:6" ht="15">
      <c r="B18" s="30">
        <v>2</v>
      </c>
      <c r="C18" s="30">
        <v>2</v>
      </c>
      <c r="D18" s="30">
        <v>3</v>
      </c>
      <c r="E18" s="76">
        <f t="shared" si="0"/>
        <v>2.0999999999999996</v>
      </c>
      <c r="F18" s="30">
        <v>3</v>
      </c>
    </row>
    <row r="19" spans="2:6" ht="15">
      <c r="B19" s="30">
        <v>4</v>
      </c>
      <c r="C19" s="30">
        <v>1</v>
      </c>
      <c r="D19" s="30">
        <v>3</v>
      </c>
      <c r="E19" s="76">
        <f t="shared" si="0"/>
        <v>2.0999999999999996</v>
      </c>
      <c r="F19" s="30">
        <v>3</v>
      </c>
    </row>
    <row r="20" spans="2:6" ht="15">
      <c r="B20" s="30">
        <v>1</v>
      </c>
      <c r="C20" s="30">
        <v>3</v>
      </c>
      <c r="D20" s="30">
        <v>1</v>
      </c>
      <c r="E20" s="76">
        <f t="shared" si="0"/>
        <v>2.1999999999999997</v>
      </c>
      <c r="F20" s="30">
        <v>3</v>
      </c>
    </row>
    <row r="21" spans="2:6" ht="15">
      <c r="B21" s="30">
        <v>3</v>
      </c>
      <c r="C21" s="30">
        <v>2</v>
      </c>
      <c r="D21" s="30">
        <v>1</v>
      </c>
      <c r="E21" s="76">
        <f t="shared" si="0"/>
        <v>2.1999999999999997</v>
      </c>
      <c r="F21" s="30">
        <v>3</v>
      </c>
    </row>
    <row r="22" spans="2:6" ht="15">
      <c r="B22" s="30">
        <v>5</v>
      </c>
      <c r="C22" s="30">
        <v>1</v>
      </c>
      <c r="D22" s="30">
        <v>1</v>
      </c>
      <c r="E22" s="76">
        <f t="shared" si="0"/>
        <v>2.2000000000000002</v>
      </c>
      <c r="F22" s="30">
        <v>3</v>
      </c>
    </row>
    <row r="23" spans="2:9" ht="15">
      <c r="B23" s="30">
        <v>1</v>
      </c>
      <c r="C23" s="30">
        <v>3</v>
      </c>
      <c r="D23" s="30">
        <v>2</v>
      </c>
      <c r="E23" s="76">
        <f t="shared" si="0"/>
        <v>2.2999999999999998</v>
      </c>
      <c r="F23" s="30">
        <v>4</v>
      </c>
      <c r="G23">
        <v>15</v>
      </c>
      <c r="H23" t="s">
        <v>140</v>
      </c>
      <c r="I23" t="s">
        <v>141</v>
      </c>
    </row>
    <row r="24" spans="2:6" ht="15">
      <c r="B24" s="30">
        <v>3</v>
      </c>
      <c r="C24" s="30">
        <v>2</v>
      </c>
      <c r="D24" s="30">
        <v>2</v>
      </c>
      <c r="E24" s="76">
        <f t="shared" si="0"/>
        <v>2.2999999999999998</v>
      </c>
      <c r="F24" s="30">
        <v>4</v>
      </c>
    </row>
    <row r="25" spans="2:6" ht="15">
      <c r="B25" s="30">
        <v>5</v>
      </c>
      <c r="C25" s="30">
        <v>1</v>
      </c>
      <c r="D25" s="30">
        <v>2</v>
      </c>
      <c r="E25" s="76">
        <f t="shared" si="0"/>
        <v>2.3000000000000003</v>
      </c>
      <c r="F25" s="30">
        <v>4</v>
      </c>
    </row>
    <row r="26" spans="2:6" ht="15">
      <c r="B26" s="30">
        <v>1</v>
      </c>
      <c r="C26" s="30">
        <v>3</v>
      </c>
      <c r="D26" s="30">
        <v>3</v>
      </c>
      <c r="E26" s="76">
        <f t="shared" si="0"/>
        <v>2.3999999999999995</v>
      </c>
      <c r="F26" s="30">
        <v>4</v>
      </c>
    </row>
    <row r="27" spans="2:6" ht="15">
      <c r="B27" s="30">
        <v>3</v>
      </c>
      <c r="C27" s="30">
        <v>2</v>
      </c>
      <c r="D27" s="30">
        <v>3</v>
      </c>
      <c r="E27" s="76">
        <f t="shared" si="0"/>
        <v>2.3999999999999995</v>
      </c>
      <c r="F27" s="30">
        <v>4</v>
      </c>
    </row>
    <row r="28" spans="2:6" ht="15">
      <c r="B28" s="30">
        <v>5</v>
      </c>
      <c r="C28" s="30">
        <v>1</v>
      </c>
      <c r="D28" s="30">
        <v>3</v>
      </c>
      <c r="E28" s="76">
        <f t="shared" si="0"/>
        <v>2.4000000000000004</v>
      </c>
      <c r="F28" s="30">
        <v>4</v>
      </c>
    </row>
    <row r="29" spans="2:6" ht="15">
      <c r="B29" s="30">
        <v>2</v>
      </c>
      <c r="C29" s="30">
        <v>3</v>
      </c>
      <c r="D29" s="30">
        <v>1</v>
      </c>
      <c r="E29" s="76">
        <f t="shared" si="0"/>
        <v>2.5</v>
      </c>
      <c r="F29" s="30">
        <v>4</v>
      </c>
    </row>
    <row r="30" spans="2:6" ht="15">
      <c r="B30" s="30">
        <v>4</v>
      </c>
      <c r="C30" s="30">
        <v>2</v>
      </c>
      <c r="D30" s="30">
        <v>1</v>
      </c>
      <c r="E30" s="76">
        <f t="shared" si="0"/>
        <v>2.5</v>
      </c>
      <c r="F30" s="30">
        <v>4</v>
      </c>
    </row>
    <row r="31" spans="2:6" ht="15">
      <c r="B31" s="30">
        <v>2</v>
      </c>
      <c r="C31" s="30">
        <v>3</v>
      </c>
      <c r="D31" s="30">
        <v>2</v>
      </c>
      <c r="E31" s="76">
        <f t="shared" si="0"/>
        <v>2.6000000000000001</v>
      </c>
      <c r="F31" s="30">
        <v>4</v>
      </c>
    </row>
    <row r="32" spans="2:6" ht="15">
      <c r="B32" s="30">
        <v>4</v>
      </c>
      <c r="C32" s="30">
        <v>2</v>
      </c>
      <c r="D32" s="30">
        <v>2</v>
      </c>
      <c r="E32" s="76">
        <f t="shared" si="0"/>
        <v>2.6000000000000001</v>
      </c>
      <c r="F32" s="30">
        <v>4</v>
      </c>
    </row>
    <row r="33" spans="2:6" ht="15">
      <c r="B33" s="30">
        <v>2</v>
      </c>
      <c r="C33" s="30">
        <v>3</v>
      </c>
      <c r="D33" s="30">
        <v>3</v>
      </c>
      <c r="E33" s="76">
        <f t="shared" si="0"/>
        <v>2.7000000000000002</v>
      </c>
      <c r="F33" s="30">
        <v>4</v>
      </c>
    </row>
    <row r="34" spans="2:6" ht="15">
      <c r="B34" s="30">
        <v>4</v>
      </c>
      <c r="C34" s="30">
        <v>2</v>
      </c>
      <c r="D34" s="30">
        <v>3</v>
      </c>
      <c r="E34" s="76">
        <f t="shared" si="1" ref="E34:E65">=B34*0.3+C34*0.6+D34*0.1</f>
        <v>2.7000000000000002</v>
      </c>
      <c r="F34" s="30">
        <v>4</v>
      </c>
    </row>
    <row r="35" spans="2:6" ht="15">
      <c r="B35" s="30">
        <v>1</v>
      </c>
      <c r="C35" s="30">
        <v>4</v>
      </c>
      <c r="D35" s="30">
        <v>1</v>
      </c>
      <c r="E35" s="76">
        <f t="shared" si="1"/>
        <v>2.7999999999999998</v>
      </c>
      <c r="F35" s="30">
        <v>4</v>
      </c>
    </row>
    <row r="36" spans="2:6" ht="15">
      <c r="B36" s="30">
        <v>3</v>
      </c>
      <c r="C36" s="30">
        <v>3</v>
      </c>
      <c r="D36" s="30">
        <v>1</v>
      </c>
      <c r="E36" s="76">
        <f t="shared" si="1"/>
        <v>2.7999999999999998</v>
      </c>
      <c r="F36" s="30">
        <v>4</v>
      </c>
    </row>
    <row r="37" spans="2:6" ht="15">
      <c r="B37" s="30">
        <v>5</v>
      </c>
      <c r="C37" s="30">
        <v>2</v>
      </c>
      <c r="D37" s="30">
        <v>1</v>
      </c>
      <c r="E37" s="76">
        <f t="shared" si="1"/>
        <v>2.8000000000000003</v>
      </c>
      <c r="F37" s="30">
        <v>4</v>
      </c>
    </row>
    <row r="38" spans="2:9" ht="15">
      <c r="B38" s="30">
        <v>1</v>
      </c>
      <c r="C38" s="30">
        <v>4</v>
      </c>
      <c r="D38" s="30">
        <v>2</v>
      </c>
      <c r="E38" s="76">
        <f t="shared" si="1"/>
        <v>2.8999999999999999</v>
      </c>
      <c r="F38" s="30">
        <v>5</v>
      </c>
      <c r="G38">
        <v>12</v>
      </c>
      <c r="H38" t="s">
        <v>143</v>
      </c>
      <c r="I38" t="s">
        <v>142</v>
      </c>
    </row>
    <row r="39" spans="2:6" ht="15">
      <c r="B39" s="30">
        <v>3</v>
      </c>
      <c r="C39" s="30">
        <v>3</v>
      </c>
      <c r="D39" s="30">
        <v>2</v>
      </c>
      <c r="E39" s="76">
        <f t="shared" si="1"/>
        <v>2.8999999999999999</v>
      </c>
      <c r="F39" s="30">
        <v>5</v>
      </c>
    </row>
    <row r="40" spans="2:6" ht="15">
      <c r="B40" s="30">
        <v>5</v>
      </c>
      <c r="C40" s="30">
        <v>2</v>
      </c>
      <c r="D40" s="30">
        <v>2</v>
      </c>
      <c r="E40" s="76">
        <f t="shared" si="1"/>
        <v>2.9000000000000004</v>
      </c>
      <c r="F40" s="30">
        <v>5</v>
      </c>
    </row>
    <row r="41" spans="2:6" ht="15">
      <c r="B41" s="30">
        <v>1</v>
      </c>
      <c r="C41" s="30">
        <v>4</v>
      </c>
      <c r="D41" s="30">
        <v>3</v>
      </c>
      <c r="E41" s="76">
        <f t="shared" si="1"/>
        <v>3</v>
      </c>
      <c r="F41" s="30">
        <v>5</v>
      </c>
    </row>
    <row r="42" spans="2:6" ht="15">
      <c r="B42" s="30">
        <v>3</v>
      </c>
      <c r="C42" s="30">
        <v>3</v>
      </c>
      <c r="D42" s="30">
        <v>3</v>
      </c>
      <c r="E42" s="76">
        <f t="shared" si="1"/>
        <v>3</v>
      </c>
      <c r="F42" s="30">
        <v>5</v>
      </c>
    </row>
    <row r="43" spans="2:6" ht="15">
      <c r="B43" s="30">
        <v>5</v>
      </c>
      <c r="C43" s="30">
        <v>2</v>
      </c>
      <c r="D43" s="30">
        <v>3</v>
      </c>
      <c r="E43" s="76">
        <f t="shared" si="1"/>
        <v>3</v>
      </c>
      <c r="F43" s="30">
        <v>5</v>
      </c>
    </row>
    <row r="44" spans="2:6" ht="15">
      <c r="B44" s="30">
        <v>2</v>
      </c>
      <c r="C44" s="30">
        <v>4</v>
      </c>
      <c r="D44" s="30">
        <v>1</v>
      </c>
      <c r="E44" s="76">
        <f t="shared" si="1"/>
        <v>3.1000000000000001</v>
      </c>
      <c r="F44" s="30">
        <v>5</v>
      </c>
    </row>
    <row r="45" spans="2:6" ht="15">
      <c r="B45" s="30">
        <v>4</v>
      </c>
      <c r="C45" s="30">
        <v>3</v>
      </c>
      <c r="D45" s="30">
        <v>1</v>
      </c>
      <c r="E45" s="76">
        <f t="shared" si="1"/>
        <v>3.1000000000000001</v>
      </c>
      <c r="F45" s="30">
        <v>5</v>
      </c>
    </row>
    <row r="46" spans="2:6" ht="15">
      <c r="B46" s="30">
        <v>2</v>
      </c>
      <c r="C46" s="30">
        <v>4</v>
      </c>
      <c r="D46" s="30">
        <v>2</v>
      </c>
      <c r="E46" s="76">
        <f t="shared" si="1"/>
        <v>3.2000000000000002</v>
      </c>
      <c r="F46" s="30">
        <v>5</v>
      </c>
    </row>
    <row r="47" spans="2:6" ht="15">
      <c r="B47" s="30">
        <v>4</v>
      </c>
      <c r="C47" s="30">
        <v>3</v>
      </c>
      <c r="D47" s="30">
        <v>2</v>
      </c>
      <c r="E47" s="76">
        <f t="shared" si="1"/>
        <v>3.2000000000000002</v>
      </c>
      <c r="F47" s="30">
        <v>5</v>
      </c>
    </row>
    <row r="48" spans="2:6" ht="15">
      <c r="B48" s="30">
        <v>2</v>
      </c>
      <c r="C48" s="30">
        <v>4</v>
      </c>
      <c r="D48" s="30">
        <v>3</v>
      </c>
      <c r="E48" s="76">
        <f t="shared" si="1"/>
        <v>3.2999999999999998</v>
      </c>
      <c r="F48" s="30">
        <v>5</v>
      </c>
    </row>
    <row r="49" spans="2:6" ht="15">
      <c r="B49" s="30">
        <v>4</v>
      </c>
      <c r="C49" s="30">
        <v>3</v>
      </c>
      <c r="D49" s="30">
        <v>3</v>
      </c>
      <c r="E49" s="76">
        <f t="shared" si="1"/>
        <v>3.2999999999999998</v>
      </c>
      <c r="F49" s="30">
        <v>5</v>
      </c>
    </row>
    <row r="50" spans="2:9" ht="15">
      <c r="B50" s="30">
        <v>1</v>
      </c>
      <c r="C50" s="30">
        <v>5</v>
      </c>
      <c r="D50" s="30">
        <v>1</v>
      </c>
      <c r="E50" s="76">
        <f t="shared" si="1"/>
        <v>3.3999999999999999</v>
      </c>
      <c r="F50" s="30">
        <v>6</v>
      </c>
      <c r="G50">
        <v>13</v>
      </c>
      <c r="H50" t="s">
        <v>144</v>
      </c>
      <c r="I50" t="s">
        <v>120</v>
      </c>
    </row>
    <row r="51" spans="2:6" ht="15">
      <c r="B51" s="30">
        <v>3</v>
      </c>
      <c r="C51" s="30">
        <v>4</v>
      </c>
      <c r="D51" s="30">
        <v>1</v>
      </c>
      <c r="E51" s="76">
        <f t="shared" si="1"/>
        <v>3.3999999999999999</v>
      </c>
      <c r="F51" s="30">
        <v>6</v>
      </c>
    </row>
    <row r="52" spans="2:6" ht="15">
      <c r="B52" s="30">
        <v>5</v>
      </c>
      <c r="C52" s="30">
        <v>3</v>
      </c>
      <c r="D52" s="30">
        <v>1</v>
      </c>
      <c r="E52" s="76">
        <f t="shared" si="1"/>
        <v>3.3999999999999999</v>
      </c>
      <c r="F52" s="30">
        <v>6</v>
      </c>
    </row>
    <row r="53" spans="2:6" ht="15">
      <c r="B53" s="30">
        <v>1</v>
      </c>
      <c r="C53" s="30">
        <v>5</v>
      </c>
      <c r="D53" s="30">
        <v>2</v>
      </c>
      <c r="E53" s="76">
        <f t="shared" si="1"/>
        <v>3.5</v>
      </c>
      <c r="F53" s="30">
        <v>6</v>
      </c>
    </row>
    <row r="54" spans="2:6" ht="15">
      <c r="B54" s="30">
        <v>3</v>
      </c>
      <c r="C54" s="30">
        <v>4</v>
      </c>
      <c r="D54" s="30">
        <v>2</v>
      </c>
      <c r="E54" s="76">
        <f t="shared" si="1"/>
        <v>3.5</v>
      </c>
      <c r="F54" s="30">
        <v>6</v>
      </c>
    </row>
    <row r="55" spans="2:6" ht="15">
      <c r="B55" s="30">
        <v>5</v>
      </c>
      <c r="C55" s="30">
        <v>3</v>
      </c>
      <c r="D55" s="30">
        <v>2</v>
      </c>
      <c r="E55" s="76">
        <f t="shared" si="1"/>
        <v>3.5</v>
      </c>
      <c r="F55" s="30">
        <v>6</v>
      </c>
    </row>
    <row r="56" spans="2:6" ht="15">
      <c r="B56" s="30">
        <v>1</v>
      </c>
      <c r="C56" s="30">
        <v>5</v>
      </c>
      <c r="D56" s="30">
        <v>3</v>
      </c>
      <c r="E56" s="76">
        <f t="shared" si="1"/>
        <v>3.5999999999999996</v>
      </c>
      <c r="F56" s="30">
        <v>6</v>
      </c>
    </row>
    <row r="57" spans="2:6" ht="15">
      <c r="B57" s="30">
        <v>3</v>
      </c>
      <c r="C57" s="30">
        <v>4</v>
      </c>
      <c r="D57" s="30">
        <v>3</v>
      </c>
      <c r="E57" s="76">
        <f t="shared" si="1"/>
        <v>3.5999999999999996</v>
      </c>
      <c r="F57" s="30">
        <v>6</v>
      </c>
    </row>
    <row r="58" spans="2:6" ht="15">
      <c r="B58" s="30">
        <v>5</v>
      </c>
      <c r="C58" s="30">
        <v>3</v>
      </c>
      <c r="D58" s="30">
        <v>3</v>
      </c>
      <c r="E58" s="76">
        <f t="shared" si="1"/>
        <v>3.5999999999999996</v>
      </c>
      <c r="F58" s="30">
        <v>6</v>
      </c>
    </row>
    <row r="59" spans="2:6" ht="15">
      <c r="B59" s="30">
        <v>4</v>
      </c>
      <c r="C59" s="30">
        <v>4</v>
      </c>
      <c r="D59" s="30">
        <v>1</v>
      </c>
      <c r="E59" s="76">
        <f t="shared" si="1"/>
        <v>3.6999999999999997</v>
      </c>
      <c r="F59" s="30">
        <v>6</v>
      </c>
    </row>
    <row r="60" spans="2:6" ht="15">
      <c r="B60" s="30">
        <v>2</v>
      </c>
      <c r="C60" s="30">
        <v>5</v>
      </c>
      <c r="D60" s="30">
        <v>1</v>
      </c>
      <c r="E60" s="76">
        <f t="shared" si="1"/>
        <v>3.7000000000000002</v>
      </c>
      <c r="F60" s="30">
        <v>6</v>
      </c>
    </row>
    <row r="61" spans="2:6" ht="15">
      <c r="B61" s="30">
        <v>4</v>
      </c>
      <c r="C61" s="30">
        <v>4</v>
      </c>
      <c r="D61" s="30">
        <v>2</v>
      </c>
      <c r="E61" s="76">
        <f t="shared" si="1"/>
        <v>3.7999999999999998</v>
      </c>
      <c r="F61" s="30">
        <v>6</v>
      </c>
    </row>
    <row r="62" spans="2:6" ht="15">
      <c r="B62" s="30">
        <v>2</v>
      </c>
      <c r="C62" s="30">
        <v>5</v>
      </c>
      <c r="D62" s="30">
        <v>2</v>
      </c>
      <c r="E62" s="76">
        <f t="shared" si="1"/>
        <v>3.8000000000000003</v>
      </c>
      <c r="F62" s="30">
        <v>6</v>
      </c>
    </row>
    <row r="63" spans="2:9" ht="15">
      <c r="B63" s="30">
        <v>4</v>
      </c>
      <c r="C63" s="30">
        <v>4</v>
      </c>
      <c r="D63" s="30">
        <v>3</v>
      </c>
      <c r="E63" s="76">
        <f t="shared" si="1"/>
        <v>3.8999999999999995</v>
      </c>
      <c r="F63" s="30">
        <v>7</v>
      </c>
      <c r="G63">
        <v>8</v>
      </c>
      <c r="H63" t="s">
        <v>145</v>
      </c>
      <c r="I63" t="s">
        <v>146</v>
      </c>
    </row>
    <row r="64" spans="2:6" ht="15">
      <c r="B64" s="30">
        <v>2</v>
      </c>
      <c r="C64" s="30">
        <v>5</v>
      </c>
      <c r="D64" s="30">
        <v>3</v>
      </c>
      <c r="E64" s="76">
        <f t="shared" si="1"/>
        <v>3.9000000000000004</v>
      </c>
      <c r="F64" s="30">
        <v>7</v>
      </c>
    </row>
    <row r="65" spans="2:6" ht="15">
      <c r="B65" s="30">
        <v>3</v>
      </c>
      <c r="C65" s="30">
        <v>5</v>
      </c>
      <c r="D65" s="30">
        <v>1</v>
      </c>
      <c r="E65" s="76">
        <f t="shared" si="1"/>
        <v>4</v>
      </c>
      <c r="F65" s="30">
        <v>7</v>
      </c>
    </row>
    <row r="66" spans="2:6" ht="15">
      <c r="B66" s="30">
        <v>5</v>
      </c>
      <c r="C66" s="30">
        <v>4</v>
      </c>
      <c r="D66" s="30">
        <v>1</v>
      </c>
      <c r="E66" s="76">
        <f t="shared" si="2" ref="E66:E76">=B66*0.3+C66*0.6+D66*0.1</f>
        <v>4</v>
      </c>
      <c r="F66" s="30">
        <v>7</v>
      </c>
    </row>
    <row r="67" spans="2:6" ht="15">
      <c r="B67" s="30">
        <v>3</v>
      </c>
      <c r="C67" s="30">
        <v>5</v>
      </c>
      <c r="D67" s="30">
        <v>2</v>
      </c>
      <c r="E67" s="76">
        <f t="shared" si="2"/>
        <v>4.0999999999999996</v>
      </c>
      <c r="F67" s="30">
        <v>7</v>
      </c>
    </row>
    <row r="68" spans="2:6" ht="15">
      <c r="B68" s="30">
        <v>5</v>
      </c>
      <c r="C68" s="30">
        <v>4</v>
      </c>
      <c r="D68" s="30">
        <v>2</v>
      </c>
      <c r="E68" s="76">
        <f t="shared" si="2"/>
        <v>4.0999999999999996</v>
      </c>
      <c r="F68" s="30">
        <v>7</v>
      </c>
    </row>
    <row r="69" spans="2:6" ht="15">
      <c r="B69" s="30">
        <v>3</v>
      </c>
      <c r="C69" s="30">
        <v>5</v>
      </c>
      <c r="D69" s="30">
        <v>3</v>
      </c>
      <c r="E69" s="76">
        <f t="shared" si="2"/>
        <v>4.2000000000000002</v>
      </c>
      <c r="F69" s="30">
        <v>7</v>
      </c>
    </row>
    <row r="70" spans="2:6" ht="15">
      <c r="B70" s="30">
        <v>5</v>
      </c>
      <c r="C70" s="30">
        <v>4</v>
      </c>
      <c r="D70" s="30">
        <v>3</v>
      </c>
      <c r="E70" s="76">
        <f t="shared" si="2"/>
        <v>4.2000000000000002</v>
      </c>
      <c r="F70" s="30">
        <v>7</v>
      </c>
    </row>
    <row r="71" spans="2:9" ht="15">
      <c r="B71" s="30">
        <v>4</v>
      </c>
      <c r="C71" s="30">
        <v>5</v>
      </c>
      <c r="D71" s="30">
        <v>1</v>
      </c>
      <c r="E71" s="76">
        <f t="shared" si="2"/>
        <v>4.2999999999999998</v>
      </c>
      <c r="F71" s="30">
        <v>8</v>
      </c>
      <c r="G71">
        <v>6</v>
      </c>
      <c r="H71" t="s">
        <v>147</v>
      </c>
      <c r="I71" t="s">
        <v>148</v>
      </c>
    </row>
    <row r="72" spans="2:6" ht="15">
      <c r="B72" s="30">
        <v>4</v>
      </c>
      <c r="C72" s="30">
        <v>5</v>
      </c>
      <c r="D72" s="30">
        <v>2</v>
      </c>
      <c r="E72" s="76">
        <f t="shared" si="2"/>
        <v>4.4000000000000004</v>
      </c>
      <c r="F72" s="30">
        <v>8</v>
      </c>
    </row>
    <row r="73" spans="2:6" ht="15">
      <c r="B73" s="30">
        <v>4</v>
      </c>
      <c r="C73" s="30">
        <v>5</v>
      </c>
      <c r="D73" s="30">
        <v>3</v>
      </c>
      <c r="E73" s="76">
        <f t="shared" si="2"/>
        <v>4.5</v>
      </c>
      <c r="F73" s="30">
        <v>8</v>
      </c>
    </row>
    <row r="74" spans="2:6" ht="15">
      <c r="B74" s="30">
        <v>5</v>
      </c>
      <c r="C74" s="30">
        <v>5</v>
      </c>
      <c r="D74" s="30">
        <v>1</v>
      </c>
      <c r="E74" s="76">
        <f t="shared" si="2"/>
        <v>4.5999999999999996</v>
      </c>
      <c r="F74" s="30">
        <v>8</v>
      </c>
    </row>
    <row r="75" spans="2:6" ht="15">
      <c r="B75" s="30">
        <v>5</v>
      </c>
      <c r="C75" s="30">
        <v>5</v>
      </c>
      <c r="D75" s="30">
        <v>2</v>
      </c>
      <c r="E75" s="76">
        <f t="shared" si="2"/>
        <v>4.7000000000000002</v>
      </c>
      <c r="F75" s="30">
        <v>8</v>
      </c>
    </row>
    <row r="76" spans="2:6" ht="15">
      <c r="B76" s="30">
        <v>5</v>
      </c>
      <c r="C76" s="30">
        <v>5</v>
      </c>
      <c r="D76" s="30">
        <v>3</v>
      </c>
      <c r="E76" s="76">
        <f t="shared" si="2"/>
        <v>4.7999999999999998</v>
      </c>
      <c r="F76" s="30">
        <v>8</v>
      </c>
    </row>
  </sheetData>
  <autoFilter ref="B1:E76"/>
  <sortState ref="B2:F76">
    <sortCondition sortBy="value" ref="E2:E76"/>
  </sortState>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dimension ref="B2:K21"/>
  <sheetViews>
    <sheetView zoomScale="150" zoomScaleNormal="150" workbookViewId="0" topLeftCell="A1">
      <selection pane="topLeft" activeCell="B2" sqref="B2:K20"/>
    </sheetView>
  </sheetViews>
  <sheetFormatPr defaultColWidth="11.424285714285714" defaultRowHeight="15"/>
  <cols>
    <col min="1" max="1" width="5.428571428571429" customWidth="1"/>
    <col min="2" max="2" width="16.428571428571427" bestFit="1" customWidth="1"/>
  </cols>
  <sheetData>
    <row r="2" spans="2:11" ht="15">
      <c r="B2" s="68" t="s">
        <v>80</v>
      </c>
      <c r="C2" s="69" t="s">
        <v>118</v>
      </c>
      <c r="D2" s="21"/>
      <c r="E2" s="21"/>
      <c r="F2" s="21"/>
      <c r="G2" s="70" t="s">
        <v>117</v>
      </c>
      <c r="H2" s="41"/>
      <c r="I2" s="41"/>
      <c r="J2" s="41"/>
      <c r="K2" s="71" t="s">
        <v>119</v>
      </c>
    </row>
    <row r="3" spans="2:11" ht="15">
      <c r="B3" s="18" t="s">
        <v>121</v>
      </c>
      <c r="C3" s="18">
        <v>1</v>
      </c>
      <c r="D3" s="18">
        <v>2</v>
      </c>
      <c r="E3" s="18">
        <v>3</v>
      </c>
      <c r="F3" s="18">
        <v>4</v>
      </c>
      <c r="G3" s="18">
        <v>5</v>
      </c>
      <c r="H3" s="18">
        <v>6</v>
      </c>
      <c r="I3" s="18">
        <v>7</v>
      </c>
      <c r="J3" s="18">
        <v>8</v>
      </c>
      <c r="K3" s="18">
        <v>9</v>
      </c>
    </row>
    <row r="4" spans="2:11" ht="15">
      <c r="B4" s="61">
        <v>1</v>
      </c>
      <c r="C4" s="63">
        <v>543</v>
      </c>
      <c r="D4" s="63">
        <v>543</v>
      </c>
      <c r="E4" s="63">
        <v>543</v>
      </c>
      <c r="F4" s="62">
        <f>G4*0.9</f>
        <v>553.28048999999999</v>
      </c>
      <c r="G4" s="65">
        <f>0.581*1058.1</f>
        <v>614.75609999999995</v>
      </c>
      <c r="H4" s="63">
        <f t="shared" si="0" ref="H4:J10">=G4*1.07</f>
        <v>657.78902700000003</v>
      </c>
      <c r="I4" s="63">
        <f t="shared" si="0"/>
        <v>703.83425889000011</v>
      </c>
      <c r="J4" s="63">
        <f t="shared" si="0"/>
        <v>753.10265701230014</v>
      </c>
      <c r="K4" s="66">
        <f>0.755*1058.1</f>
        <v>798.86549999999988</v>
      </c>
    </row>
    <row r="5" spans="2:11" ht="15">
      <c r="B5" s="61">
        <v>2</v>
      </c>
      <c r="C5" s="63">
        <f>0.513*1058.1</f>
        <v>542.80529999999999</v>
      </c>
      <c r="D5" s="63">
        <v>543</v>
      </c>
      <c r="E5" s="63">
        <v>543</v>
      </c>
      <c r="F5" s="62">
        <f t="shared" si="1" ref="D5:F20">=G5*0.9</f>
        <v>563.75567999999998</v>
      </c>
      <c r="G5" s="65">
        <f>0.592*1058.1</f>
        <v>626.39519999999993</v>
      </c>
      <c r="H5" s="63">
        <f t="shared" si="0"/>
        <v>670.24286399999994</v>
      </c>
      <c r="I5" s="63">
        <f t="shared" si="0"/>
        <v>717.15986448000001</v>
      </c>
      <c r="J5" s="63">
        <f t="shared" si="0"/>
        <v>767.36105499360008</v>
      </c>
      <c r="K5" s="66">
        <f>0.769*1058.1</f>
        <v>813.6789</v>
      </c>
    </row>
    <row r="6" spans="2:11" ht="15">
      <c r="B6" s="61">
        <v>3</v>
      </c>
      <c r="C6" s="67">
        <f>0.57*1058.1</f>
        <v>603.11699999999985</v>
      </c>
      <c r="D6" s="62">
        <f t="shared" si="2" ref="D6:E6">=E6*0.9</f>
        <v>627.8828886</v>
      </c>
      <c r="E6" s="62">
        <f t="shared" si="2"/>
        <v>697.64765399999999</v>
      </c>
      <c r="F6" s="62">
        <f t="shared" si="1"/>
        <v>775.16405999999995</v>
      </c>
      <c r="G6" s="65">
        <f>0.814*1058.1</f>
        <v>861.29339999999991</v>
      </c>
      <c r="H6" s="63">
        <f t="shared" si="0"/>
        <v>921.58393799999999</v>
      </c>
      <c r="I6" s="63">
        <f t="shared" si="0"/>
        <v>986.09481366</v>
      </c>
      <c r="J6" s="63">
        <f t="shared" si="0"/>
        <v>1055.1214506162</v>
      </c>
      <c r="K6" s="66">
        <f>1.059*1058.1</f>
        <v>1120.5278999999998</v>
      </c>
    </row>
    <row r="7" spans="2:11" ht="15">
      <c r="B7" s="61">
        <v>4</v>
      </c>
      <c r="C7" s="67">
        <f>0.582*1058.1</f>
        <v>615.81419999999991</v>
      </c>
      <c r="D7" s="62">
        <f t="shared" si="3" ref="D7:E7">=E7*0.9</f>
        <v>641.76727679999999</v>
      </c>
      <c r="E7" s="62">
        <f t="shared" si="3"/>
        <v>713.07475199999999</v>
      </c>
      <c r="F7" s="62">
        <f t="shared" si="1"/>
        <v>792.30527999999993</v>
      </c>
      <c r="G7" s="65">
        <f>0.832*1058.1</f>
        <v>880.33919999999989</v>
      </c>
      <c r="H7" s="63">
        <f t="shared" si="0"/>
        <v>941.96294399999999</v>
      </c>
      <c r="I7" s="63">
        <f t="shared" si="0"/>
        <v>1007.9003500800001</v>
      </c>
      <c r="J7" s="63">
        <f t="shared" si="0"/>
        <v>1078.4533745856002</v>
      </c>
      <c r="K7" s="66">
        <f>1.08*1058.1</f>
        <v>1142.748</v>
      </c>
    </row>
    <row r="8" spans="2:11" ht="15">
      <c r="B8" s="61">
        <v>5</v>
      </c>
      <c r="C8" s="67">
        <f>0.623*1058.1</f>
        <v>659.19629999999995</v>
      </c>
      <c r="D8" s="62">
        <f t="shared" si="4" ref="D8:E8">=E8*0.9</f>
        <v>686.5058610000001</v>
      </c>
      <c r="E8" s="62">
        <f t="shared" si="4"/>
        <v>762.78429000000006</v>
      </c>
      <c r="F8" s="62">
        <f t="shared" si="1"/>
        <v>847.53809999999999</v>
      </c>
      <c r="G8" s="65">
        <f>0.89*1058.1</f>
        <v>941.70899999999995</v>
      </c>
      <c r="H8" s="63">
        <f t="shared" si="0"/>
        <v>1007.62863</v>
      </c>
      <c r="I8" s="63">
        <f t="shared" si="0"/>
        <v>1078.1626341000001</v>
      </c>
      <c r="J8" s="63">
        <f t="shared" si="0"/>
        <v>1153.6340184870003</v>
      </c>
      <c r="K8" s="66">
        <f>1.156*1058.1</f>
        <v>1223.1635999999999</v>
      </c>
    </row>
    <row r="9" spans="2:11" ht="15">
      <c r="B9" s="61">
        <v>6</v>
      </c>
      <c r="C9" s="67">
        <f>0.666*1058.1</f>
        <v>704.69459999999992</v>
      </c>
      <c r="D9" s="62">
        <f t="shared" si="5" ref="D9:E9">=E9*0.9</f>
        <v>732.78715499999987</v>
      </c>
      <c r="E9" s="62">
        <f t="shared" si="5"/>
        <v>814.20794999999987</v>
      </c>
      <c r="F9" s="62">
        <f t="shared" si="1"/>
        <v>904.67549999999983</v>
      </c>
      <c r="G9" s="65">
        <f>0.95*1058.1</f>
        <v>1005.1949999999998</v>
      </c>
      <c r="H9" s="63">
        <f t="shared" si="0"/>
        <v>1075.5586499999999</v>
      </c>
      <c r="I9" s="63">
        <f t="shared" si="0"/>
        <v>1150.8477554999999</v>
      </c>
      <c r="J9" s="63">
        <f t="shared" si="0"/>
        <v>1231.4070983849999</v>
      </c>
      <c r="K9" s="66">
        <f>1.236*1058.1</f>
        <v>1307.8115999999998</v>
      </c>
    </row>
    <row r="10" spans="2:11" ht="15">
      <c r="B10" s="61">
        <v>7</v>
      </c>
      <c r="C10" s="67">
        <f>0.796*1058.1</f>
        <v>842.24759999999992</v>
      </c>
      <c r="D10" s="62">
        <f t="shared" si="6" ref="D10:E10">=E10*0.9</f>
        <v>877.03052130000015</v>
      </c>
      <c r="E10" s="62">
        <f t="shared" si="6"/>
        <v>974.47835700000019</v>
      </c>
      <c r="F10" s="62">
        <f t="shared" si="1"/>
        <v>1082.7537300000001</v>
      </c>
      <c r="G10" s="65">
        <f>1.137*1058.1</f>
        <v>1203.0597</v>
      </c>
      <c r="H10" s="63">
        <f t="shared" si="0"/>
        <v>1287.2738790000001</v>
      </c>
      <c r="I10" s="63">
        <f t="shared" si="0"/>
        <v>1377.3830505300002</v>
      </c>
      <c r="J10" s="63">
        <f t="shared" si="0"/>
        <v>1473.7998640671003</v>
      </c>
      <c r="K10" s="66">
        <f>1.479*1058.1</f>
        <v>1564.9298999999999</v>
      </c>
    </row>
    <row r="11" spans="2:11" ht="15">
      <c r="B11" s="61">
        <v>8</v>
      </c>
      <c r="C11" s="67">
        <f>0.85*1058.1</f>
        <v>899.38499999999988</v>
      </c>
      <c r="D11" s="62">
        <f t="shared" si="7" ref="D11:E11">=E11*0.9</f>
        <v>941.05297799999994</v>
      </c>
      <c r="E11" s="62">
        <f t="shared" si="7"/>
        <v>1045.6144199999999</v>
      </c>
      <c r="F11" s="62">
        <f t="shared" si="1"/>
        <v>1161.7937999999999</v>
      </c>
      <c r="G11" s="65">
        <f>1.22*1058.1</f>
        <v>1290.8819999999998</v>
      </c>
      <c r="H11" s="63">
        <f>G11*1.07</f>
        <v>1381.2437399999999</v>
      </c>
      <c r="I11" s="63">
        <f>H11*1.05</f>
        <v>1450.3059269999999</v>
      </c>
      <c r="J11" s="63">
        <f>I11*1.05</f>
        <v>1522.8212233499999</v>
      </c>
      <c r="K11" s="66">
        <f>1.579*1058.1</f>
        <v>1670.7398999999998</v>
      </c>
    </row>
    <row r="12" spans="2:11" ht="15">
      <c r="B12" s="61">
        <v>9</v>
      </c>
      <c r="C12" s="67">
        <f>1.017*1058.1</f>
        <v>1076.0876999999998</v>
      </c>
      <c r="D12" s="62">
        <f t="shared" si="8" ref="D12:E12">=E12*0.9</f>
        <v>1120.7786697000001</v>
      </c>
      <c r="E12" s="62">
        <f t="shared" si="8"/>
        <v>1245.3096330000001</v>
      </c>
      <c r="F12" s="62">
        <f t="shared" si="1"/>
        <v>1383.6773700000001</v>
      </c>
      <c r="G12" s="65">
        <f>1.453*1058.1</f>
        <v>1537.4193</v>
      </c>
      <c r="H12" s="62">
        <f t="shared" si="9" ref="H12">=G12*1.1</f>
        <v>1691.1612300000002</v>
      </c>
      <c r="I12" s="63">
        <f>H12*1.05</f>
        <v>1775.7192915000003</v>
      </c>
      <c r="J12" s="63">
        <f>I12*1.05</f>
        <v>1864.5052560750003</v>
      </c>
      <c r="K12" s="66">
        <f>1.817*1058.1</f>
        <v>1922.5676999999998</v>
      </c>
    </row>
    <row r="13" spans="2:11" ht="15">
      <c r="B13" s="61">
        <v>10</v>
      </c>
      <c r="C13" s="67">
        <f>1.23*1058.1</f>
        <v>1301.463</v>
      </c>
      <c r="D13" s="62">
        <f t="shared" si="10" ref="D13:E13">=E13*0.9</f>
        <v>1355.2705592999998</v>
      </c>
      <c r="E13" s="62">
        <f t="shared" si="10"/>
        <v>1505.8561769999999</v>
      </c>
      <c r="F13" s="62">
        <f t="shared" si="1"/>
        <v>1673.1735299999998</v>
      </c>
      <c r="G13" s="65">
        <f>1.757*1058.1</f>
        <v>1859.0816999999997</v>
      </c>
      <c r="H13" s="62">
        <f t="shared" si="11" ref="H13">=G13*1.1</f>
        <v>2044.9898699999999</v>
      </c>
      <c r="I13" s="63">
        <f>H13*1.04</f>
        <v>2126.7894648000001</v>
      </c>
      <c r="J13" s="63">
        <f>I13*1.05</f>
        <v>2233.1289380400003</v>
      </c>
      <c r="K13" s="66">
        <f>2.197*1058.1</f>
        <v>2324.6457</v>
      </c>
    </row>
    <row r="14" spans="2:11" ht="15">
      <c r="B14" s="61">
        <v>11</v>
      </c>
      <c r="C14" s="67">
        <f>1.535*1058.1</f>
        <v>1624.1834999999999</v>
      </c>
      <c r="D14" s="62">
        <f t="shared" si="12" ref="D14:E14">=E14*0.9</f>
        <v>1692.3526506000001</v>
      </c>
      <c r="E14" s="62">
        <f t="shared" si="12"/>
        <v>1880.391834</v>
      </c>
      <c r="F14" s="62">
        <f t="shared" si="1"/>
        <v>2089.3242599999999</v>
      </c>
      <c r="G14" s="65">
        <f>2.194*1058.1</f>
        <v>2321.4713999999999</v>
      </c>
      <c r="H14" s="62">
        <f t="shared" si="13" ref="H14">=G14*1.1</f>
        <v>2553.6185399999999</v>
      </c>
      <c r="I14" s="63">
        <f t="shared" si="14" ref="I14:I19">=H14*1.03</f>
        <v>2630.2270961999998</v>
      </c>
      <c r="J14" s="63">
        <f>I14*1.05</f>
        <v>2761.7384510100001</v>
      </c>
      <c r="K14" s="66">
        <f>2.743*1058.1</f>
        <v>2902.3682999999996</v>
      </c>
    </row>
    <row r="15" spans="2:11" ht="15">
      <c r="B15" s="61">
        <v>12</v>
      </c>
      <c r="C15" s="67">
        <f>1.911*1058.1</f>
        <v>2022.0291</v>
      </c>
      <c r="D15" s="62">
        <f t="shared" si="15" ref="D15:E15">=E15*0.9</f>
        <v>2105.7988770000002</v>
      </c>
      <c r="E15" s="62">
        <f t="shared" si="15"/>
        <v>2339.7765300000001</v>
      </c>
      <c r="F15" s="62">
        <f t="shared" si="1"/>
        <v>2599.7516999999998</v>
      </c>
      <c r="G15" s="65">
        <f>2.73*1058.1</f>
        <v>2888.6129999999998</v>
      </c>
      <c r="H15" s="62">
        <f t="shared" si="16" ref="H15">=G15*1.1</f>
        <v>3177.4742999999999</v>
      </c>
      <c r="I15" s="63">
        <f t="shared" si="14"/>
        <v>3272.7985290000001</v>
      </c>
      <c r="J15" s="63">
        <f>I15*1.03</f>
        <v>3370.9824848700005</v>
      </c>
      <c r="K15" s="66">
        <f>3.276*1058.1</f>
        <v>3466.3355999999994</v>
      </c>
    </row>
    <row r="16" spans="2:11" ht="15">
      <c r="B16" s="61">
        <v>13</v>
      </c>
      <c r="C16" s="67">
        <f>2.369*1058.1</f>
        <v>2506.6388999999999</v>
      </c>
      <c r="D16" s="62">
        <f t="shared" si="17" ref="D16:E16">=E16*0.9</f>
        <v>2611.0363364999994</v>
      </c>
      <c r="E16" s="62">
        <f t="shared" si="17"/>
        <v>2901.1514849999994</v>
      </c>
      <c r="F16" s="62">
        <f t="shared" si="1"/>
        <v>3223.5016499999992</v>
      </c>
      <c r="G16" s="65">
        <f>3.385*1058.1</f>
        <v>3581.6684999999993</v>
      </c>
      <c r="H16" s="62">
        <f t="shared" si="18" ref="H16">=G16*1.1</f>
        <v>3939.8353499999994</v>
      </c>
      <c r="I16" s="63">
        <f t="shared" si="14"/>
        <v>4058.0304104999996</v>
      </c>
      <c r="J16" s="63">
        <f>I16*1.03</f>
        <v>4179.7713228149996</v>
      </c>
      <c r="K16" s="66">
        <f>4.062*1058.1</f>
        <v>4298.0021999999999</v>
      </c>
    </row>
    <row r="17" spans="2:11" ht="15">
      <c r="B17" s="61">
        <v>14</v>
      </c>
      <c r="C17" s="67">
        <f>2.836*1058.1</f>
        <v>3000.7715999999996</v>
      </c>
      <c r="D17" s="62">
        <f t="shared" si="19" ref="D17:E17">=E17*0.9</f>
        <v>3123.987345</v>
      </c>
      <c r="E17" s="62">
        <f t="shared" si="19"/>
        <v>3471.0970499999999</v>
      </c>
      <c r="F17" s="62">
        <f t="shared" si="1"/>
        <v>3856.7744999999995</v>
      </c>
      <c r="G17" s="65">
        <f>4.05*1058.1</f>
        <v>4285.3049999999994</v>
      </c>
      <c r="H17" s="62">
        <f t="shared" si="20" ref="H17">=G17*1.1</f>
        <v>4713.8355000000001</v>
      </c>
      <c r="I17" s="63">
        <f t="shared" si="14"/>
        <v>4855.2505650000003</v>
      </c>
      <c r="J17" s="63">
        <f>I17*1.03</f>
        <v>5000.9080819500005</v>
      </c>
      <c r="K17" s="66">
        <f>4.86*1058.1</f>
        <v>5142.366</v>
      </c>
    </row>
    <row r="18" spans="2:11" ht="15">
      <c r="B18" s="61">
        <v>15</v>
      </c>
      <c r="C18" s="67">
        <f>3.194*1058.1</f>
        <v>3379.5713999999998</v>
      </c>
      <c r="D18" s="62">
        <f t="shared" si="21" ref="D18:E18">=E18*0.9</f>
        <v>3518.9210538000002</v>
      </c>
      <c r="E18" s="62">
        <f t="shared" si="21"/>
        <v>3909.9122820000002</v>
      </c>
      <c r="F18" s="62">
        <f t="shared" si="1"/>
        <v>4344.3469800000003</v>
      </c>
      <c r="G18" s="65">
        <f>4.562*1058.1</f>
        <v>4827.0522000000001</v>
      </c>
      <c r="H18" s="62">
        <f t="shared" si="22" ref="H18">=G18*1.1</f>
        <v>5309.7574200000008</v>
      </c>
      <c r="I18" s="63">
        <f t="shared" si="14"/>
        <v>5469.050142600001</v>
      </c>
      <c r="J18" s="63">
        <f>I18*1.03</f>
        <v>5633.1216468780012</v>
      </c>
      <c r="K18" s="66">
        <f>5.475*1058.1</f>
        <v>5793.0974999999989</v>
      </c>
    </row>
    <row r="19" spans="2:11" ht="15">
      <c r="B19" s="61">
        <v>16</v>
      </c>
      <c r="C19" s="67">
        <f>3.355*1058.1</f>
        <v>3549.9254999999998</v>
      </c>
      <c r="D19" s="62">
        <f t="shared" si="23" ref="D19:E19">=E19*0.9</f>
        <v>3697.1040357000002</v>
      </c>
      <c r="E19" s="62">
        <f t="shared" si="23"/>
        <v>4107.8933729999999</v>
      </c>
      <c r="F19" s="62">
        <f t="shared" si="1"/>
        <v>4564.3259699999999</v>
      </c>
      <c r="G19" s="65">
        <f>4.793*1058.1</f>
        <v>5071.4732999999997</v>
      </c>
      <c r="H19" s="62">
        <f t="shared" si="24" ref="H19">=G19*1.1</f>
        <v>5578.6206300000003</v>
      </c>
      <c r="I19" s="63">
        <f t="shared" si="14"/>
        <v>5745.9792489000001</v>
      </c>
      <c r="J19" s="63">
        <f>I19*1.03</f>
        <v>5918.3586263670004</v>
      </c>
      <c r="K19" s="66">
        <f>5.751*1058.1</f>
        <v>6085.1331</v>
      </c>
    </row>
    <row r="20" spans="2:11" ht="15">
      <c r="B20" s="61">
        <v>17</v>
      </c>
      <c r="C20" s="67">
        <f>3.684*1058.1</f>
        <v>3898.0403999999999</v>
      </c>
      <c r="D20" s="62">
        <f t="shared" si="1"/>
        <v>4059.6408386999997</v>
      </c>
      <c r="E20" s="62">
        <f t="shared" si="1"/>
        <v>4510.7120429999995</v>
      </c>
      <c r="F20" s="62">
        <f t="shared" si="1"/>
        <v>5011.9022699999996</v>
      </c>
      <c r="G20" s="65">
        <f>5.263*1058.1</f>
        <v>5568.7802999999994</v>
      </c>
      <c r="H20" s="62">
        <f t="shared" si="25" ref="H20">=G20*1.1</f>
        <v>6125.6583300000002</v>
      </c>
      <c r="I20" s="63">
        <f>H20*1.025</f>
        <v>6278.7997882499994</v>
      </c>
      <c r="J20" s="63">
        <f>I20*1.015</f>
        <v>6372.9817850737491</v>
      </c>
      <c r="K20" s="66">
        <f>6.051*1058.1</f>
        <v>6402.5630999999994</v>
      </c>
    </row>
    <row r="21" spans="2:3" ht="15">
      <c r="B21" s="64"/>
      <c r="C21" t="s">
        <v>122</v>
      </c>
    </row>
  </sheetData>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C3:S26"/>
  <sheetViews>
    <sheetView zoomScale="160" zoomScaleNormal="160" workbookViewId="0" topLeftCell="A7">
      <selection pane="topLeft" activeCell="N13" sqref="N13"/>
    </sheetView>
  </sheetViews>
  <sheetFormatPr defaultColWidth="8.714285714285714" defaultRowHeight="15"/>
  <cols>
    <col min="2" max="2" width="0" hidden="1" customWidth="1"/>
    <col min="3" max="3" width="13.714285714285714" hidden="1" customWidth="1"/>
    <col min="4" max="4" width="13.142857142857142" hidden="1" customWidth="1"/>
    <col min="5" max="5" width="16" hidden="1" customWidth="1"/>
    <col min="6" max="6" width="18.714285714285715" hidden="1" customWidth="1"/>
    <col min="7" max="7" width="0" hidden="1" customWidth="1"/>
    <col min="8" max="8" width="11.714285714285714" customWidth="1"/>
    <col min="9" max="9" width="16.714285714285715" customWidth="1"/>
    <col min="10" max="10" width="14.285714285714286" customWidth="1"/>
    <col min="11" max="11" width="17.714285714285715" customWidth="1"/>
    <col min="15" max="20" width="0" hidden="1" customWidth="1"/>
  </cols>
  <sheetData>
    <row r="3" spans="8:11" ht="49.9" customHeight="1">
      <c r="H3" s="86" t="s">
        <v>116</v>
      </c>
      <c r="I3" s="86"/>
      <c r="J3" s="86"/>
      <c r="K3" s="86"/>
    </row>
    <row r="4" spans="10:10" ht="15.75" thickBot="1">
      <c r="J4" s="42" t="s">
        <v>107</v>
      </c>
    </row>
    <row r="5" spans="3:19" ht="75.75" thickBot="1">
      <c r="C5" s="87" t="s">
        <v>80</v>
      </c>
      <c r="D5" s="90" t="s">
        <v>101</v>
      </c>
      <c r="E5" s="91"/>
      <c r="F5" s="92"/>
      <c r="G5" s="96"/>
      <c r="H5" s="97" t="s">
        <v>80</v>
      </c>
      <c r="I5" s="100" t="s">
        <v>101</v>
      </c>
      <c r="J5" s="101"/>
      <c r="K5" s="102"/>
      <c r="O5" s="50" t="s">
        <v>108</v>
      </c>
      <c r="P5" s="51" t="s">
        <v>109</v>
      </c>
      <c r="Q5" s="52" t="s">
        <v>110</v>
      </c>
      <c r="R5" s="52" t="s">
        <v>111</v>
      </c>
      <c r="S5" s="52" t="s">
        <v>112</v>
      </c>
    </row>
    <row r="6" spans="3:19" ht="17.25" thickBot="1">
      <c r="C6" s="88"/>
      <c r="D6" s="93" t="s">
        <v>102</v>
      </c>
      <c r="E6" s="94"/>
      <c r="F6" s="95"/>
      <c r="G6" s="96"/>
      <c r="H6" s="98"/>
      <c r="I6" s="103" t="s">
        <v>115</v>
      </c>
      <c r="J6" s="104"/>
      <c r="K6" s="105"/>
      <c r="O6" s="53" t="s">
        <v>86</v>
      </c>
      <c r="P6" s="54" t="s">
        <v>85</v>
      </c>
      <c r="Q6" s="55">
        <v>543</v>
      </c>
      <c r="R6" s="55">
        <v>615</v>
      </c>
      <c r="S6" s="55">
        <v>799</v>
      </c>
    </row>
    <row r="7" spans="3:19" ht="17.25" thickBot="1">
      <c r="C7" s="89"/>
      <c r="D7" s="48" t="s">
        <v>103</v>
      </c>
      <c r="E7" s="48" t="s">
        <v>83</v>
      </c>
      <c r="F7" s="48" t="s">
        <v>84</v>
      </c>
      <c r="G7" s="47"/>
      <c r="H7" s="99"/>
      <c r="I7" s="58" t="s">
        <v>105</v>
      </c>
      <c r="J7" s="58" t="s">
        <v>83</v>
      </c>
      <c r="K7" s="58" t="s">
        <v>84</v>
      </c>
      <c r="O7" s="56" t="s">
        <v>87</v>
      </c>
      <c r="P7" s="54" t="s">
        <v>86</v>
      </c>
      <c r="Q7" s="55">
        <v>543</v>
      </c>
      <c r="R7" s="55">
        <v>626</v>
      </c>
      <c r="S7" s="55">
        <v>814</v>
      </c>
    </row>
    <row r="8" spans="3:19" ht="17.25" thickBot="1">
      <c r="C8" s="49" t="s">
        <v>85</v>
      </c>
      <c r="D8" s="48">
        <v>0.51300000000000001</v>
      </c>
      <c r="E8" s="48">
        <v>0.58099999999999996</v>
      </c>
      <c r="F8" s="48">
        <v>0.755</v>
      </c>
      <c r="G8" s="47"/>
      <c r="H8" s="59" t="s">
        <v>85</v>
      </c>
      <c r="I8" s="60">
        <f>0.513*1058.1</f>
        <v>542.80529999999999</v>
      </c>
      <c r="J8" s="60">
        <f>0.581*1058.1</f>
        <v>614.75609999999995</v>
      </c>
      <c r="K8" s="60">
        <f>0.755*1058.1</f>
        <v>798.86549999999988</v>
      </c>
      <c r="O8" s="56" t="s">
        <v>88</v>
      </c>
      <c r="P8" s="54" t="s">
        <v>87</v>
      </c>
      <c r="Q8" s="55">
        <v>603</v>
      </c>
      <c r="R8" s="55">
        <v>861</v>
      </c>
      <c r="S8" s="55">
        <v>1121</v>
      </c>
    </row>
    <row r="9" spans="3:19" ht="17.25" thickBot="1">
      <c r="C9" s="49" t="s">
        <v>86</v>
      </c>
      <c r="D9" s="48">
        <v>0.51300000000000001</v>
      </c>
      <c r="E9" s="48">
        <v>0.59199999999999997</v>
      </c>
      <c r="F9" s="48">
        <v>0.76900000000000002</v>
      </c>
      <c r="G9" s="47"/>
      <c r="H9" s="59" t="s">
        <v>86</v>
      </c>
      <c r="I9" s="60">
        <f>0.513*1058.1</f>
        <v>542.80529999999999</v>
      </c>
      <c r="J9" s="60">
        <f>0.592*1058.1</f>
        <v>626.39519999999993</v>
      </c>
      <c r="K9" s="60">
        <f>0.769*1058.1</f>
        <v>813.6789</v>
      </c>
      <c r="O9" s="56" t="s">
        <v>89</v>
      </c>
      <c r="P9" s="54" t="s">
        <v>88</v>
      </c>
      <c r="Q9" s="55">
        <v>616</v>
      </c>
      <c r="R9" s="55">
        <v>880</v>
      </c>
      <c r="S9" s="55">
        <v>1143</v>
      </c>
    </row>
    <row r="10" spans="3:19" ht="17.25" thickBot="1">
      <c r="C10" s="49" t="s">
        <v>87</v>
      </c>
      <c r="D10" s="48">
        <v>0.56999999999999995</v>
      </c>
      <c r="E10" s="48">
        <v>0.81399999999999995</v>
      </c>
      <c r="F10" s="48">
        <v>1.0589999999999999</v>
      </c>
      <c r="G10" s="47"/>
      <c r="H10" s="59" t="s">
        <v>87</v>
      </c>
      <c r="I10" s="60">
        <f>0.57*1058.1</f>
        <v>603.11699999999985</v>
      </c>
      <c r="J10" s="60">
        <f>0.814*1058.1</f>
        <v>861.29339999999991</v>
      </c>
      <c r="K10" s="60">
        <f>1.059*1058.1</f>
        <v>1120.5278999999998</v>
      </c>
      <c r="O10" s="56" t="s">
        <v>90</v>
      </c>
      <c r="P10" s="54" t="s">
        <v>89</v>
      </c>
      <c r="Q10" s="55">
        <v>659</v>
      </c>
      <c r="R10" s="55">
        <v>942</v>
      </c>
      <c r="S10" s="55">
        <v>1223</v>
      </c>
    </row>
    <row r="11" spans="3:19" ht="17.25" thickBot="1">
      <c r="C11" s="49" t="s">
        <v>88</v>
      </c>
      <c r="D11" s="48">
        <v>0.58199999999999996</v>
      </c>
      <c r="E11" s="48">
        <v>0.83199999999999996</v>
      </c>
      <c r="F11" s="48">
        <v>1.0800000000000001</v>
      </c>
      <c r="G11" s="47"/>
      <c r="H11" s="59" t="s">
        <v>88</v>
      </c>
      <c r="I11" s="60">
        <f>0.582*1058.1</f>
        <v>615.81419999999991</v>
      </c>
      <c r="J11" s="60">
        <f>0.832*1058.1</f>
        <v>880.33919999999989</v>
      </c>
      <c r="K11" s="60">
        <f>1.08*1058.1</f>
        <v>1142.748</v>
      </c>
      <c r="O11" s="56" t="s">
        <v>91</v>
      </c>
      <c r="P11" s="54" t="s">
        <v>90</v>
      </c>
      <c r="Q11" s="55">
        <v>705</v>
      </c>
      <c r="R11" s="55">
        <v>1005</v>
      </c>
      <c r="S11" s="55">
        <v>1308</v>
      </c>
    </row>
    <row r="12" spans="3:19" ht="17.25" thickBot="1">
      <c r="C12" s="49" t="s">
        <v>89</v>
      </c>
      <c r="D12" s="48">
        <v>0.623</v>
      </c>
      <c r="E12" s="48">
        <v>0.89000000000000001</v>
      </c>
      <c r="F12" s="48">
        <v>1.1559999999999999</v>
      </c>
      <c r="G12" s="47"/>
      <c r="H12" s="59" t="s">
        <v>89</v>
      </c>
      <c r="I12" s="60">
        <f>0.623*1058.1</f>
        <v>659.19629999999995</v>
      </c>
      <c r="J12" s="60">
        <f>0.89*1058.1</f>
        <v>941.70899999999995</v>
      </c>
      <c r="K12" s="60">
        <f>1.156*1058.1</f>
        <v>1223.1635999999999</v>
      </c>
      <c r="O12" s="56" t="s">
        <v>92</v>
      </c>
      <c r="P12" s="54" t="s">
        <v>91</v>
      </c>
      <c r="Q12" s="55">
        <v>842</v>
      </c>
      <c r="R12" s="55">
        <v>1203</v>
      </c>
      <c r="S12" s="55">
        <v>1565</v>
      </c>
    </row>
    <row r="13" spans="3:19" ht="17.25" thickBot="1">
      <c r="C13" s="49" t="s">
        <v>90</v>
      </c>
      <c r="D13" s="48">
        <v>0.66600000000000004</v>
      </c>
      <c r="E13" s="48">
        <v>0.94999999999999996</v>
      </c>
      <c r="F13" s="48">
        <v>1.236</v>
      </c>
      <c r="G13" s="47"/>
      <c r="H13" s="59" t="s">
        <v>90</v>
      </c>
      <c r="I13" s="60">
        <f>0.666*1058.1</f>
        <v>704.69459999999992</v>
      </c>
      <c r="J13" s="60">
        <f>0.95*1058.1</f>
        <v>1005.1949999999998</v>
      </c>
      <c r="K13" s="60">
        <f>1.236*1058.1</f>
        <v>1307.8115999999998</v>
      </c>
      <c r="O13" s="56" t="s">
        <v>93</v>
      </c>
      <c r="P13" s="54" t="s">
        <v>92</v>
      </c>
      <c r="Q13" s="55">
        <v>899</v>
      </c>
      <c r="R13" s="55">
        <v>1291</v>
      </c>
      <c r="S13" s="55">
        <v>1671</v>
      </c>
    </row>
    <row r="14" spans="3:19" ht="17.25" thickBot="1">
      <c r="C14" s="49" t="s">
        <v>91</v>
      </c>
      <c r="D14" s="48">
        <v>0.79600000000000004</v>
      </c>
      <c r="E14" s="48">
        <v>1.137</v>
      </c>
      <c r="F14" s="48">
        <v>1.4790000000000001</v>
      </c>
      <c r="G14" s="47"/>
      <c r="H14" s="59" t="s">
        <v>91</v>
      </c>
      <c r="I14" s="60">
        <f>0.796*1058.1</f>
        <v>842.24759999999992</v>
      </c>
      <c r="J14" s="60">
        <f>1.137*1058.1</f>
        <v>1203.0597</v>
      </c>
      <c r="K14" s="60">
        <f>1.479*1058.1</f>
        <v>1564.9298999999999</v>
      </c>
      <c r="O14" s="56" t="s">
        <v>94</v>
      </c>
      <c r="P14" s="54" t="s">
        <v>93</v>
      </c>
      <c r="Q14" s="55">
        <v>1076</v>
      </c>
      <c r="R14" s="55">
        <v>1537</v>
      </c>
      <c r="S14" s="55">
        <v>1923</v>
      </c>
    </row>
    <row r="15" spans="3:19" ht="17.25" thickBot="1">
      <c r="C15" s="49" t="s">
        <v>92</v>
      </c>
      <c r="D15" s="48">
        <v>0.84999999999999998</v>
      </c>
      <c r="E15" s="48">
        <v>1.22</v>
      </c>
      <c r="F15" s="48">
        <v>1.579</v>
      </c>
      <c r="G15" s="47"/>
      <c r="H15" s="59" t="s">
        <v>92</v>
      </c>
      <c r="I15" s="60">
        <f>0.85*1058.1</f>
        <v>899.38499999999988</v>
      </c>
      <c r="J15" s="60">
        <f>1.22*1058.1</f>
        <v>1290.8819999999998</v>
      </c>
      <c r="K15" s="60">
        <f>1.579*1058.1</f>
        <v>1670.7398999999998</v>
      </c>
      <c r="O15" s="56" t="s">
        <v>95</v>
      </c>
      <c r="P15" s="54" t="s">
        <v>94</v>
      </c>
      <c r="Q15" s="55">
        <v>1301</v>
      </c>
      <c r="R15" s="55">
        <v>1859</v>
      </c>
      <c r="S15" s="55">
        <v>2325</v>
      </c>
    </row>
    <row r="16" spans="3:19" ht="17.25" thickBot="1">
      <c r="C16" s="49" t="s">
        <v>93</v>
      </c>
      <c r="D16" s="48">
        <v>1.0169999999999999</v>
      </c>
      <c r="E16" s="48">
        <v>1.4530000000000001</v>
      </c>
      <c r="F16" s="48">
        <v>1.8169999999999999</v>
      </c>
      <c r="G16" s="47"/>
      <c r="H16" s="59" t="s">
        <v>93</v>
      </c>
      <c r="I16" s="60">
        <f>1.017*1058.1</f>
        <v>1076.0876999999998</v>
      </c>
      <c r="J16" s="60">
        <f>1.453*1058.1</f>
        <v>1537.4193</v>
      </c>
      <c r="K16" s="60">
        <f>1.817*1058.1</f>
        <v>1922.5676999999998</v>
      </c>
      <c r="O16" s="56" t="s">
        <v>96</v>
      </c>
      <c r="P16" s="54" t="s">
        <v>95</v>
      </c>
      <c r="Q16" s="55">
        <v>1624</v>
      </c>
      <c r="R16" s="55">
        <v>2321</v>
      </c>
      <c r="S16" s="55">
        <v>2902</v>
      </c>
    </row>
    <row r="17" spans="3:19" ht="17.25" thickBot="1">
      <c r="C17" s="49" t="s">
        <v>94</v>
      </c>
      <c r="D17" s="48">
        <v>1.23</v>
      </c>
      <c r="E17" s="48">
        <v>1.7569999999999999</v>
      </c>
      <c r="F17" s="48">
        <v>2.1970000000000001</v>
      </c>
      <c r="G17" s="47"/>
      <c r="H17" s="59" t="s">
        <v>94</v>
      </c>
      <c r="I17" s="60">
        <f>1.23*1058.1</f>
        <v>1301.463</v>
      </c>
      <c r="J17" s="60">
        <f>1.757*1058.1</f>
        <v>1859.0816999999997</v>
      </c>
      <c r="K17" s="60">
        <f>2.197*1058.1</f>
        <v>2324.6457</v>
      </c>
      <c r="O17" s="56" t="s">
        <v>97</v>
      </c>
      <c r="P17" s="54" t="s">
        <v>96</v>
      </c>
      <c r="Q17" s="55">
        <v>2022</v>
      </c>
      <c r="R17" s="55">
        <v>2889</v>
      </c>
      <c r="S17" s="55">
        <v>3466</v>
      </c>
    </row>
    <row r="18" spans="3:19" ht="17.25" thickBot="1">
      <c r="C18" s="49" t="s">
        <v>95</v>
      </c>
      <c r="D18" s="48">
        <v>1.5349999999999999</v>
      </c>
      <c r="E18" s="48">
        <v>2.194</v>
      </c>
      <c r="F18" s="48">
        <v>2.7429999999999999</v>
      </c>
      <c r="G18" s="47"/>
      <c r="H18" s="59" t="s">
        <v>95</v>
      </c>
      <c r="I18" s="60">
        <f>1.535*1058.1</f>
        <v>1624.1834999999999</v>
      </c>
      <c r="J18" s="60">
        <f>2.194*1058.1</f>
        <v>2321.4713999999999</v>
      </c>
      <c r="K18" s="60">
        <f>2.743*1058.1</f>
        <v>2902.3682999999996</v>
      </c>
      <c r="O18" s="56" t="s">
        <v>98</v>
      </c>
      <c r="P18" s="54" t="s">
        <v>97</v>
      </c>
      <c r="Q18" s="55">
        <v>2507</v>
      </c>
      <c r="R18" s="55">
        <v>3582</v>
      </c>
      <c r="S18" s="55">
        <v>4298</v>
      </c>
    </row>
    <row r="19" spans="3:19" ht="17.25" thickBot="1">
      <c r="C19" s="49" t="s">
        <v>96</v>
      </c>
      <c r="D19" s="48">
        <v>1.911</v>
      </c>
      <c r="E19" s="48">
        <v>2.73</v>
      </c>
      <c r="F19" s="48">
        <v>3.2759999999999998</v>
      </c>
      <c r="G19" s="47"/>
      <c r="H19" s="59" t="s">
        <v>96</v>
      </c>
      <c r="I19" s="60">
        <f>1.911*1058.1</f>
        <v>2022.0291</v>
      </c>
      <c r="J19" s="60">
        <f>2.73*1058.1</f>
        <v>2888.6129999999998</v>
      </c>
      <c r="K19" s="60">
        <f>3.276*1058.1</f>
        <v>3466.3355999999994</v>
      </c>
      <c r="O19" s="56" t="s">
        <v>99</v>
      </c>
      <c r="P19" s="54" t="s">
        <v>98</v>
      </c>
      <c r="Q19" s="55">
        <v>3001</v>
      </c>
      <c r="R19" s="55">
        <v>4285</v>
      </c>
      <c r="S19" s="55">
        <v>5142</v>
      </c>
    </row>
    <row r="20" spans="3:19" ht="17.25" thickBot="1">
      <c r="C20" s="49" t="s">
        <v>97</v>
      </c>
      <c r="D20" s="48">
        <v>2.3690000000000002</v>
      </c>
      <c r="E20" s="48">
        <v>3.3849999999999998</v>
      </c>
      <c r="F20" s="48">
        <v>4.0620000000000003</v>
      </c>
      <c r="G20" s="47"/>
      <c r="H20" s="59" t="s">
        <v>97</v>
      </c>
      <c r="I20" s="60">
        <f>2.369*1058.1</f>
        <v>2506.6388999999999</v>
      </c>
      <c r="J20" s="60">
        <f>3.385*1058.1</f>
        <v>3581.6684999999993</v>
      </c>
      <c r="K20" s="60">
        <f>4.062*1058.1</f>
        <v>4298.0021999999999</v>
      </c>
      <c r="O20" s="56" t="s">
        <v>100</v>
      </c>
      <c r="P20" s="54" t="s">
        <v>99</v>
      </c>
      <c r="Q20" s="55">
        <v>3380</v>
      </c>
      <c r="R20" s="55">
        <v>4827</v>
      </c>
      <c r="S20" s="55">
        <v>5793</v>
      </c>
    </row>
    <row r="21" spans="3:19" ht="17.25" thickBot="1">
      <c r="C21" s="49" t="s">
        <v>98</v>
      </c>
      <c r="D21" s="48">
        <v>2.8359999999999999</v>
      </c>
      <c r="E21" s="48">
        <v>4.0499999999999998</v>
      </c>
      <c r="F21" s="48">
        <v>4.8600000000000003</v>
      </c>
      <c r="G21" s="47"/>
      <c r="H21" s="59" t="s">
        <v>98</v>
      </c>
      <c r="I21" s="60">
        <f>2.836*1058.1</f>
        <v>3000.7715999999996</v>
      </c>
      <c r="J21" s="60">
        <f>4.05*1058.1</f>
        <v>4285.3049999999994</v>
      </c>
      <c r="K21" s="60">
        <f>4.86*1058.1</f>
        <v>5142.366</v>
      </c>
      <c r="O21" s="53" t="s">
        <v>113</v>
      </c>
      <c r="P21" s="54" t="s">
        <v>100</v>
      </c>
      <c r="Q21" s="55">
        <v>3550</v>
      </c>
      <c r="R21" s="55">
        <v>5071</v>
      </c>
      <c r="S21" s="55">
        <v>6085</v>
      </c>
    </row>
    <row r="22" spans="3:19" ht="17.25" thickBot="1">
      <c r="C22" s="49" t="s">
        <v>99</v>
      </c>
      <c r="D22" s="48">
        <v>3.194</v>
      </c>
      <c r="E22" s="48">
        <v>4.5620000000000003</v>
      </c>
      <c r="F22" s="48">
        <v>5.4749999999999996</v>
      </c>
      <c r="G22" s="47"/>
      <c r="H22" s="59" t="s">
        <v>99</v>
      </c>
      <c r="I22" s="60">
        <f>3.194*1058.1</f>
        <v>3379.5713999999998</v>
      </c>
      <c r="J22" s="60">
        <f>4.562*1058.1</f>
        <v>4827.0522000000001</v>
      </c>
      <c r="K22" s="60">
        <f>5.475*1058.1</f>
        <v>5793.0974999999989</v>
      </c>
      <c r="O22" s="53" t="s">
        <v>114</v>
      </c>
      <c r="P22" s="54" t="s">
        <v>104</v>
      </c>
      <c r="Q22" s="55">
        <v>3898</v>
      </c>
      <c r="R22" s="55">
        <v>5569</v>
      </c>
      <c r="S22" s="55">
        <v>6403</v>
      </c>
    </row>
    <row r="23" spans="3:11" ht="17.25" thickBot="1">
      <c r="C23" s="49" t="s">
        <v>100</v>
      </c>
      <c r="D23" s="48">
        <v>3.355</v>
      </c>
      <c r="E23" s="48">
        <v>4.7930000000000001</v>
      </c>
      <c r="F23" s="48">
        <v>5.7510000000000003</v>
      </c>
      <c r="G23" s="47"/>
      <c r="H23" s="59" t="s">
        <v>100</v>
      </c>
      <c r="I23" s="60">
        <f>3.355*1058.1</f>
        <v>3549.9254999999998</v>
      </c>
      <c r="J23" s="60">
        <f>4.793*1058.1</f>
        <v>5071.4732999999997</v>
      </c>
      <c r="K23" s="60">
        <f>5.751*1058.1</f>
        <v>6085.1331</v>
      </c>
    </row>
    <row r="24" spans="3:11" ht="17.25" thickBot="1">
      <c r="C24" s="49" t="s">
        <v>104</v>
      </c>
      <c r="D24" s="48">
        <v>3.6840000000000002</v>
      </c>
      <c r="E24" s="48">
        <v>5.2629999999999999</v>
      </c>
      <c r="F24" s="48">
        <v>6.0510000000000002</v>
      </c>
      <c r="G24" s="47"/>
      <c r="H24" s="59" t="s">
        <v>104</v>
      </c>
      <c r="I24" s="60">
        <f>3.684*1058.1</f>
        <v>3898.0403999999999</v>
      </c>
      <c r="J24" s="60">
        <f>5.263*1058.1</f>
        <v>5568.7802999999994</v>
      </c>
      <c r="K24" s="60">
        <f>6.051*1058.1</f>
        <v>6402.5630999999994</v>
      </c>
    </row>
    <row r="26" spans="8:8" ht="15">
      <c r="H26" s="57" t="s">
        <v>106</v>
      </c>
    </row>
  </sheetData>
  <mergeCells count="8">
    <mergeCell ref="H3:K3"/>
    <mergeCell ref="C5:C7"/>
    <mergeCell ref="D5:F5"/>
    <mergeCell ref="D6:F6"/>
    <mergeCell ref="G5:G6"/>
    <mergeCell ref="H5:H7"/>
    <mergeCell ref="I5:K5"/>
    <mergeCell ref="I6:K6"/>
  </mergeCells>
  <pageMargins left="0.7" right="0.7" top="0.75" bottom="0.75" header="0.3" footer="0.3"/>
  <pageSetup horizontalDpi="90" verticalDpi="90" orientation="portrait" paperSize="9"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900-000000000000}">
  <dimension ref="B2:M21"/>
  <sheetViews>
    <sheetView workbookViewId="0" topLeftCell="A1">
      <selection pane="topLeft" activeCell="H15" sqref="H15"/>
    </sheetView>
  </sheetViews>
  <sheetFormatPr defaultColWidth="8.714285714285714" defaultRowHeight="15"/>
  <sheetData>
    <row r="2" spans="12:12" ht="15">
      <c r="L2">
        <v>1058.0999999999999</v>
      </c>
    </row>
    <row r="3" ht="15.75" thickBot="1"/>
    <row r="4" spans="2:13" ht="20.65" customHeight="1" thickBot="1">
      <c r="B4" s="43" t="s">
        <v>78</v>
      </c>
      <c r="C4" s="106" t="s">
        <v>80</v>
      </c>
      <c r="D4" s="108" t="s">
        <v>81</v>
      </c>
      <c r="E4" s="109"/>
      <c r="F4" s="110"/>
      <c r="I4" s="43" t="s">
        <v>78</v>
      </c>
      <c r="J4" s="106" t="s">
        <v>80</v>
      </c>
      <c r="K4" s="108" t="s">
        <v>81</v>
      </c>
      <c r="L4" s="109"/>
      <c r="M4" s="110"/>
    </row>
    <row r="5" spans="2:13" ht="15.75" thickBot="1">
      <c r="B5" s="44" t="s">
        <v>79</v>
      </c>
      <c r="C5" s="107"/>
      <c r="D5" s="45" t="s">
        <v>82</v>
      </c>
      <c r="E5" s="45" t="s">
        <v>83</v>
      </c>
      <c r="F5" s="45" t="s">
        <v>84</v>
      </c>
      <c r="I5" s="44" t="s">
        <v>79</v>
      </c>
      <c r="J5" s="107"/>
      <c r="K5" s="45" t="s">
        <v>82</v>
      </c>
      <c r="L5" s="45" t="s">
        <v>83</v>
      </c>
      <c r="M5" s="45" t="s">
        <v>84</v>
      </c>
    </row>
    <row r="6" spans="2:13" ht="15.75" thickBot="1">
      <c r="B6" s="45" t="s">
        <v>85</v>
      </c>
      <c r="C6" s="45">
        <v>16</v>
      </c>
      <c r="D6" s="45">
        <v>3.0350000000000001</v>
      </c>
      <c r="E6" s="45">
        <v>4.3360000000000003</v>
      </c>
      <c r="F6" s="45">
        <v>4.5499999999999998</v>
      </c>
      <c r="I6" s="45" t="s">
        <v>85</v>
      </c>
      <c r="J6" s="45">
        <v>16</v>
      </c>
      <c r="K6" s="46">
        <f>D6*L2</f>
        <v>3211.3334999999997</v>
      </c>
      <c r="L6" s="46">
        <f>E6*L2</f>
        <v>4587.9215999999997</v>
      </c>
      <c r="M6" s="46">
        <f>F6*L2</f>
        <v>4814.3549999999996</v>
      </c>
    </row>
    <row r="7" spans="2:13" ht="15.75" thickBot="1">
      <c r="B7" s="45" t="s">
        <v>86</v>
      </c>
      <c r="C7" s="45">
        <v>15</v>
      </c>
      <c r="D7" s="45">
        <v>2.8359999999999999</v>
      </c>
      <c r="E7" s="45">
        <v>4.0499999999999998</v>
      </c>
      <c r="F7" s="45">
        <v>4.3540000000000001</v>
      </c>
      <c r="I7" s="45" t="s">
        <v>86</v>
      </c>
      <c r="J7" s="45">
        <v>15</v>
      </c>
      <c r="K7" s="46">
        <f>D7*L2</f>
        <v>3000.7715999999996</v>
      </c>
      <c r="L7" s="46">
        <f>E7*L2</f>
        <v>4285.3049999999994</v>
      </c>
      <c r="M7" s="46">
        <f>F7*L2</f>
        <v>4606.9673999999995</v>
      </c>
    </row>
    <row r="8" spans="2:13" ht="15.75" thickBot="1">
      <c r="B8" s="45" t="s">
        <v>87</v>
      </c>
      <c r="C8" s="45">
        <v>14</v>
      </c>
      <c r="D8" s="45">
        <v>2.3690000000000002</v>
      </c>
      <c r="E8" s="45">
        <v>3.3849999999999998</v>
      </c>
      <c r="F8" s="45">
        <v>4.0620000000000003</v>
      </c>
      <c r="I8" s="45" t="s">
        <v>87</v>
      </c>
      <c r="J8" s="45">
        <v>14</v>
      </c>
      <c r="K8" s="46">
        <f>D8*L2</f>
        <v>2506.6388999999999</v>
      </c>
      <c r="L8" s="46">
        <f>E8*L2</f>
        <v>3581.6684999999993</v>
      </c>
      <c r="M8" s="46">
        <f>F8*L2</f>
        <v>4298.0021999999999</v>
      </c>
    </row>
    <row r="9" spans="2:13" ht="15.75" thickBot="1">
      <c r="B9" s="45" t="s">
        <v>88</v>
      </c>
      <c r="C9" s="45">
        <v>13</v>
      </c>
      <c r="D9" s="45">
        <v>1.911</v>
      </c>
      <c r="E9" s="45">
        <v>2.73</v>
      </c>
      <c r="F9" s="45">
        <v>3.2759999999999998</v>
      </c>
      <c r="I9" s="45" t="s">
        <v>88</v>
      </c>
      <c r="J9" s="45">
        <v>13</v>
      </c>
      <c r="K9" s="46">
        <f>D9*L2</f>
        <v>2022.0291</v>
      </c>
      <c r="L9" s="46">
        <f>E9*L2</f>
        <v>2888.6129999999998</v>
      </c>
      <c r="M9" s="46">
        <f>F9*L2</f>
        <v>3466.3355999999994</v>
      </c>
    </row>
    <row r="10" spans="2:13" ht="15.75" thickBot="1">
      <c r="B10" s="45" t="s">
        <v>89</v>
      </c>
      <c r="C10" s="45">
        <v>12</v>
      </c>
      <c r="D10" s="45">
        <v>1.5349999999999999</v>
      </c>
      <c r="E10" s="45">
        <v>2.194</v>
      </c>
      <c r="F10" s="45">
        <v>2.7429999999999999</v>
      </c>
      <c r="I10" s="45" t="s">
        <v>89</v>
      </c>
      <c r="J10" s="45">
        <v>12</v>
      </c>
      <c r="K10" s="46">
        <f>D10*L2</f>
        <v>1624.1834999999999</v>
      </c>
      <c r="L10" s="46">
        <f>E10*L2</f>
        <v>2321.4713999999999</v>
      </c>
      <c r="M10" s="46">
        <f>F10*L2</f>
        <v>2902.3682999999996</v>
      </c>
    </row>
    <row r="11" spans="2:13" ht="15.75" thickBot="1">
      <c r="B11" s="45" t="s">
        <v>90</v>
      </c>
      <c r="C11" s="45">
        <v>11</v>
      </c>
      <c r="D11" s="45">
        <v>1.23</v>
      </c>
      <c r="E11" s="45">
        <v>1.7569999999999999</v>
      </c>
      <c r="F11" s="45">
        <v>2.1970000000000001</v>
      </c>
      <c r="I11" s="45" t="s">
        <v>90</v>
      </c>
      <c r="J11" s="45">
        <v>11</v>
      </c>
      <c r="K11" s="46">
        <f>D11*L2</f>
        <v>1301.463</v>
      </c>
      <c r="L11" s="46">
        <f>E11*L2</f>
        <v>1859.0816999999997</v>
      </c>
      <c r="M11" s="46">
        <f>F11*L2</f>
        <v>2324.6457</v>
      </c>
    </row>
    <row r="12" spans="2:13" ht="15.75" thickBot="1">
      <c r="B12" s="45" t="s">
        <v>91</v>
      </c>
      <c r="C12" s="45">
        <v>10</v>
      </c>
      <c r="D12" s="45">
        <v>1.0169999999999999</v>
      </c>
      <c r="E12" s="45">
        <v>1.4530000000000001</v>
      </c>
      <c r="F12" s="45">
        <v>1.8169999999999999</v>
      </c>
      <c r="I12" s="45" t="s">
        <v>91</v>
      </c>
      <c r="J12" s="45">
        <v>10</v>
      </c>
      <c r="K12" s="46">
        <f>D12*L2</f>
        <v>1076.0876999999998</v>
      </c>
      <c r="L12" s="46">
        <f>E12*L2</f>
        <v>1537.4193</v>
      </c>
      <c r="M12" s="46">
        <f>F12*L2</f>
        <v>1922.5676999999998</v>
      </c>
    </row>
    <row r="13" spans="2:13" ht="15.75" thickBot="1">
      <c r="B13" s="45" t="s">
        <v>92</v>
      </c>
      <c r="C13" s="45">
        <v>9</v>
      </c>
      <c r="D13" s="45">
        <v>0.84999999999999998</v>
      </c>
      <c r="E13" s="45">
        <v>1.2150000000000001</v>
      </c>
      <c r="F13" s="45">
        <v>1.579</v>
      </c>
      <c r="I13" s="45" t="s">
        <v>92</v>
      </c>
      <c r="J13" s="45">
        <v>9</v>
      </c>
      <c r="K13" s="46">
        <f>D13*L2</f>
        <v>899.38499999999988</v>
      </c>
      <c r="L13" s="46">
        <f>E13*L2</f>
        <v>1285.5915</v>
      </c>
      <c r="M13" s="46">
        <f>F13*L2</f>
        <v>1670.7398999999998</v>
      </c>
    </row>
    <row r="14" spans="2:13" ht="15.75" thickBot="1">
      <c r="B14" s="45" t="s">
        <v>93</v>
      </c>
      <c r="C14" s="45">
        <v>8</v>
      </c>
      <c r="D14" s="45">
        <v>0.79600000000000004</v>
      </c>
      <c r="E14" s="45">
        <v>1.137</v>
      </c>
      <c r="F14" s="45">
        <v>1.4790000000000001</v>
      </c>
      <c r="I14" s="45" t="s">
        <v>93</v>
      </c>
      <c r="J14" s="45">
        <v>8</v>
      </c>
      <c r="K14" s="46">
        <f>D14*L2</f>
        <v>842.24759999999992</v>
      </c>
      <c r="L14" s="46">
        <f>E14*L2</f>
        <v>1203.0597</v>
      </c>
      <c r="M14" s="46">
        <f>F14*L2</f>
        <v>1564.9298999999999</v>
      </c>
    </row>
    <row r="15" spans="2:13" ht="15.75" thickBot="1">
      <c r="B15" s="45" t="s">
        <v>94</v>
      </c>
      <c r="C15" s="45">
        <v>7</v>
      </c>
      <c r="D15" s="45">
        <v>0.66600000000000004</v>
      </c>
      <c r="E15" s="45">
        <v>0.94999999999999996</v>
      </c>
      <c r="F15" s="45">
        <v>1.236</v>
      </c>
      <c r="I15" s="45" t="s">
        <v>94</v>
      </c>
      <c r="J15" s="45">
        <v>7</v>
      </c>
      <c r="K15" s="46">
        <f>D15*L2</f>
        <v>704.69459999999992</v>
      </c>
      <c r="L15" s="46">
        <f>E15*L2</f>
        <v>1005.1949999999998</v>
      </c>
      <c r="M15" s="46">
        <f>F15*L2</f>
        <v>1307.8115999999998</v>
      </c>
    </row>
    <row r="16" spans="2:13" ht="15.75" thickBot="1">
      <c r="B16" s="45" t="s">
        <v>95</v>
      </c>
      <c r="C16" s="45">
        <v>6</v>
      </c>
      <c r="D16" s="45">
        <v>0.623</v>
      </c>
      <c r="E16" s="45">
        <v>0.89000000000000001</v>
      </c>
      <c r="F16" s="45">
        <v>1.1559999999999999</v>
      </c>
      <c r="I16" s="45" t="s">
        <v>95</v>
      </c>
      <c r="J16" s="45">
        <v>6</v>
      </c>
      <c r="K16" s="46">
        <f>D16*L2</f>
        <v>659.19629999999995</v>
      </c>
      <c r="L16" s="46">
        <f>E16*L2</f>
        <v>941.70899999999995</v>
      </c>
      <c r="M16" s="46">
        <f>F16*L2</f>
        <v>1223.1635999999999</v>
      </c>
    </row>
    <row r="17" spans="2:13" ht="15.75" thickBot="1">
      <c r="B17" s="45" t="s">
        <v>96</v>
      </c>
      <c r="C17" s="45">
        <v>5</v>
      </c>
      <c r="D17" s="45">
        <v>0.58199999999999996</v>
      </c>
      <c r="E17" s="45">
        <v>0.83199999999999996</v>
      </c>
      <c r="F17" s="45">
        <v>1.0800000000000001</v>
      </c>
      <c r="I17" s="45" t="s">
        <v>96</v>
      </c>
      <c r="J17" s="45">
        <v>5</v>
      </c>
      <c r="K17" s="46">
        <f>D17*L2</f>
        <v>615.81419999999991</v>
      </c>
      <c r="L17" s="46">
        <f>E17*L2</f>
        <v>880.33919999999989</v>
      </c>
      <c r="M17" s="46">
        <f>F17*L2</f>
        <v>1142.748</v>
      </c>
    </row>
    <row r="18" spans="2:13" ht="15.75" thickBot="1">
      <c r="B18" s="45" t="s">
        <v>97</v>
      </c>
      <c r="C18" s="45">
        <v>4</v>
      </c>
      <c r="D18" s="45">
        <v>0.56999999999999995</v>
      </c>
      <c r="E18" s="45">
        <v>0.81399999999999995</v>
      </c>
      <c r="F18" s="45">
        <v>1.0589999999999999</v>
      </c>
      <c r="I18" s="45" t="s">
        <v>97</v>
      </c>
      <c r="J18" s="45">
        <v>4</v>
      </c>
      <c r="K18" s="46">
        <f>D18*L2</f>
        <v>603.11699999999985</v>
      </c>
      <c r="L18" s="46">
        <f>E18*L2</f>
        <v>861.29339999999991</v>
      </c>
      <c r="M18" s="46">
        <f>F18*L2</f>
        <v>1120.5278999999998</v>
      </c>
    </row>
    <row r="19" spans="2:13" ht="15.75" thickBot="1">
      <c r="B19" s="45" t="s">
        <v>98</v>
      </c>
      <c r="C19" s="45">
        <v>3</v>
      </c>
      <c r="D19" s="45">
        <v>0.441</v>
      </c>
      <c r="E19" s="45">
        <v>0.59199999999999997</v>
      </c>
      <c r="F19" s="45">
        <v>0.76900000000000002</v>
      </c>
      <c r="I19" s="45" t="s">
        <v>98</v>
      </c>
      <c r="J19" s="45">
        <v>3</v>
      </c>
      <c r="K19" s="46">
        <f>D19*L2</f>
        <v>466.62209999999999</v>
      </c>
      <c r="L19" s="46">
        <f>E19*L2</f>
        <v>626.39519999999993</v>
      </c>
      <c r="M19" s="46">
        <f>F19*L2</f>
        <v>813.6789</v>
      </c>
    </row>
    <row r="20" spans="2:13" ht="15.75" thickBot="1">
      <c r="B20" s="45" t="s">
        <v>99</v>
      </c>
      <c r="C20" s="45">
        <v>2</v>
      </c>
      <c r="D20" s="45">
        <v>0.441</v>
      </c>
      <c r="E20" s="45">
        <v>0.58099999999999996</v>
      </c>
      <c r="F20" s="45">
        <v>0.755</v>
      </c>
      <c r="I20" s="45" t="s">
        <v>99</v>
      </c>
      <c r="J20" s="45">
        <v>2</v>
      </c>
      <c r="K20" s="46">
        <f>D20*L2</f>
        <v>466.62209999999999</v>
      </c>
      <c r="L20" s="46">
        <f>E20*L2</f>
        <v>614.75609999999995</v>
      </c>
      <c r="M20" s="46">
        <f>F20*L2</f>
        <v>798.86549999999988</v>
      </c>
    </row>
    <row r="21" spans="2:13" ht="15.75" thickBot="1">
      <c r="B21" s="45" t="s">
        <v>100</v>
      </c>
      <c r="C21" s="45">
        <v>1</v>
      </c>
      <c r="D21" s="45">
        <v>0.441</v>
      </c>
      <c r="E21" s="45">
        <v>0.56200000000000006</v>
      </c>
      <c r="F21" s="45">
        <v>0.73099999999999998</v>
      </c>
      <c r="I21" s="45" t="s">
        <v>100</v>
      </c>
      <c r="J21" s="45">
        <v>1</v>
      </c>
      <c r="K21" s="46">
        <f>D21*L2</f>
        <v>466.62209999999999</v>
      </c>
      <c r="L21" s="46">
        <f>E21*L2</f>
        <v>594.65219999999999</v>
      </c>
      <c r="M21" s="46">
        <f>F21*L2</f>
        <v>773.47109999999986</v>
      </c>
    </row>
  </sheetData>
  <mergeCells count="4">
    <mergeCell ref="C4:C5"/>
    <mergeCell ref="D4:F4"/>
    <mergeCell ref="J4:J5"/>
    <mergeCell ref="K4:M4"/>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8</vt:i4>
      </vt:variant>
    </vt:vector>
  </HeadingPairs>
  <TitlesOfParts>
    <vt:vector size="8" baseType="lpstr">
      <vt:lpstr>kopējais</vt:lpstr>
      <vt:lpstr>pa amatiem</vt:lpstr>
      <vt:lpstr>Sheet1</vt:lpstr>
      <vt:lpstr>Kritēriju vērtējums</vt:lpstr>
      <vt:lpstr>Pakāpju aprēķini</vt:lpstr>
      <vt:lpstr>9 pakāpes, 10 % solis</vt:lpstr>
      <vt:lpstr>MAG skala no 01.07.2022.</vt:lpstr>
      <vt:lpstr>Sheet2</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Laila Ruškule</dc:creator>
  <cp:keywords/>
  <dc:description/>
  <cp:lastModifiedBy>Bauskas Novads</cp:lastModifiedBy>
  <cp:lastPrinted>2022-11-25T08:10:42Z</cp:lastPrinted>
  <dcterms:created xsi:type="dcterms:W3CDTF">2019-03-27T09:42:11Z</dcterms:created>
  <dcterms:modified xsi:type="dcterms:W3CDTF">2022-11-25T08:11:59Z</dcterms:modified>
  <cp:category/>
</cp:coreProperties>
</file>